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Documentos\Work\FCT NOVA\Metodologia para o planeamento de sistemas de recolha de biorresíduos\"/>
    </mc:Choice>
  </mc:AlternateContent>
  <xr:revisionPtr revIDLastSave="0" documentId="13_ncr:1_{E364B400-E0EF-4007-B970-DA4B6C1AE38C}" xr6:coauthVersionLast="47" xr6:coauthVersionMax="47" xr10:uidLastSave="{00000000-0000-0000-0000-000000000000}"/>
  <bookViews>
    <workbookView xWindow="-120" yWindow="-120" windowWidth="29040" windowHeight="15840" xr2:uid="{00000000-000D-0000-FFFF-FFFF00000000}"/>
  </bookViews>
  <sheets>
    <sheet name="Apresentação" sheetId="18" r:id="rId1"/>
    <sheet name="Apoio à Decisão" sheetId="7" r:id="rId2"/>
    <sheet name="Fluxo de Caixa" sheetId="6" r:id="rId3"/>
    <sheet name="Input Económico-financeiro" sheetId="5" r:id="rId4"/>
    <sheet name="Input Técnico" sheetId="15" r:id="rId5"/>
    <sheet name="Auxilar" sheetId="16" r:id="rId6"/>
    <sheet name="Lista" sheetId="17" state="hidden" r:id="rId7"/>
  </sheets>
  <definedNames>
    <definedName name="_xlnm._FilterDatabase" localSheetId="3" hidden="1">'Input Económico-financeiro'!$A$2:$O$349</definedName>
    <definedName name="_xlnm.Print_Area" localSheetId="1">'Apoio à Decisão'!#REF!</definedName>
    <definedName name="_xlnm.Print_Area" localSheetId="2">'Fluxo de Caixa'!$B$2:$M$39</definedName>
    <definedName name="_xlnm.Print_Area" localSheetId="3">'Input Económico-financeiro'!$A$1:$M$339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4" i="5" l="1"/>
  <c r="G284" i="5"/>
  <c r="H284" i="5"/>
  <c r="I284" i="5"/>
  <c r="J284" i="5"/>
  <c r="K284" i="5"/>
  <c r="L284" i="5"/>
  <c r="M284" i="5"/>
  <c r="N284" i="5"/>
  <c r="E284" i="5" l="1"/>
  <c r="F86" i="15"/>
  <c r="G86" i="15"/>
  <c r="H86" i="15"/>
  <c r="I86" i="15"/>
  <c r="J86" i="15"/>
  <c r="K86" i="15"/>
  <c r="L86" i="15"/>
  <c r="M86" i="15"/>
  <c r="N86" i="15"/>
  <c r="O86" i="15"/>
  <c r="F87" i="15"/>
  <c r="G87" i="15"/>
  <c r="H87" i="15"/>
  <c r="I87" i="15"/>
  <c r="J87" i="15"/>
  <c r="K87" i="15"/>
  <c r="L87" i="15"/>
  <c r="M87" i="15"/>
  <c r="N87" i="15"/>
  <c r="O87" i="15"/>
  <c r="F88" i="15"/>
  <c r="G88" i="15"/>
  <c r="H88" i="15"/>
  <c r="I88" i="15"/>
  <c r="J88" i="15"/>
  <c r="K88" i="15"/>
  <c r="L88" i="15"/>
  <c r="M88" i="15"/>
  <c r="N88" i="15"/>
  <c r="O88" i="15"/>
  <c r="F89" i="15"/>
  <c r="G89" i="15"/>
  <c r="H89" i="15"/>
  <c r="I89" i="15"/>
  <c r="J89" i="15"/>
  <c r="K89" i="15"/>
  <c r="L89" i="15"/>
  <c r="M89" i="15"/>
  <c r="N89" i="15"/>
  <c r="O89" i="15"/>
  <c r="F90" i="15"/>
  <c r="G90" i="15"/>
  <c r="H90" i="15"/>
  <c r="I90" i="15"/>
  <c r="J90" i="15"/>
  <c r="K90" i="15"/>
  <c r="L90" i="15"/>
  <c r="M90" i="15"/>
  <c r="N90" i="15"/>
  <c r="O90" i="15"/>
  <c r="F91" i="15"/>
  <c r="G91" i="15"/>
  <c r="H91" i="15"/>
  <c r="I91" i="15"/>
  <c r="J91" i="15"/>
  <c r="K91" i="15"/>
  <c r="L91" i="15"/>
  <c r="M91" i="15"/>
  <c r="N91" i="15"/>
  <c r="O91" i="15"/>
  <c r="F92" i="15"/>
  <c r="G92" i="15"/>
  <c r="H92" i="15"/>
  <c r="I92" i="15"/>
  <c r="J92" i="15"/>
  <c r="K92" i="15"/>
  <c r="L92" i="15"/>
  <c r="M92" i="15"/>
  <c r="N92" i="15"/>
  <c r="O92" i="15"/>
  <c r="F93" i="15"/>
  <c r="G93" i="15"/>
  <c r="H93" i="15"/>
  <c r="I93" i="15"/>
  <c r="J93" i="15"/>
  <c r="K93" i="15"/>
  <c r="L93" i="15"/>
  <c r="M93" i="15"/>
  <c r="N93" i="15"/>
  <c r="O93" i="15"/>
  <c r="E85" i="15"/>
  <c r="E90" i="15"/>
  <c r="E89" i="15"/>
  <c r="E91" i="15"/>
  <c r="E36" i="6"/>
  <c r="E218" i="5"/>
  <c r="F218" i="5"/>
  <c r="G218" i="5"/>
  <c r="H218" i="5"/>
  <c r="I218" i="5"/>
  <c r="J218" i="5"/>
  <c r="K218" i="5"/>
  <c r="L218" i="5"/>
  <c r="M218" i="5"/>
  <c r="N218" i="5"/>
  <c r="F196" i="15"/>
  <c r="G196" i="15" s="1"/>
  <c r="H196" i="15" s="1"/>
  <c r="I196" i="15" s="1"/>
  <c r="J196" i="15" s="1"/>
  <c r="K196" i="15" s="1"/>
  <c r="L196" i="15" s="1"/>
  <c r="M196" i="15" s="1"/>
  <c r="N196" i="15" s="1"/>
  <c r="O196" i="15" s="1"/>
  <c r="F200" i="15"/>
  <c r="G200" i="15" s="1"/>
  <c r="H200" i="15" s="1"/>
  <c r="I200" i="15" s="1"/>
  <c r="J200" i="15" s="1"/>
  <c r="K200" i="15" s="1"/>
  <c r="L200" i="15" s="1"/>
  <c r="M200" i="15" s="1"/>
  <c r="N200" i="15" s="1"/>
  <c r="O200" i="15" s="1"/>
  <c r="G204" i="15"/>
  <c r="H204" i="15" s="1"/>
  <c r="I204" i="15" s="1"/>
  <c r="J204" i="15" s="1"/>
  <c r="K204" i="15" s="1"/>
  <c r="L204" i="15" s="1"/>
  <c r="M204" i="15" s="1"/>
  <c r="N204" i="15" s="1"/>
  <c r="O204" i="15" s="1"/>
  <c r="F204" i="15"/>
  <c r="F208" i="15"/>
  <c r="G208" i="15" s="1"/>
  <c r="H208" i="15" s="1"/>
  <c r="I208" i="15" s="1"/>
  <c r="J208" i="15" s="1"/>
  <c r="K208" i="15" s="1"/>
  <c r="L208" i="15" s="1"/>
  <c r="M208" i="15" s="1"/>
  <c r="N208" i="15" s="1"/>
  <c r="O208" i="15" s="1"/>
  <c r="O171" i="15"/>
  <c r="F172" i="15"/>
  <c r="M28" i="6" l="1"/>
  <c r="L28" i="6"/>
  <c r="K28" i="6"/>
  <c r="J28" i="6"/>
  <c r="I28" i="6"/>
  <c r="H28" i="6"/>
  <c r="G28" i="6"/>
  <c r="F28" i="6"/>
  <c r="E28" i="6"/>
  <c r="M32" i="6" l="1"/>
  <c r="L32" i="6"/>
  <c r="K32" i="6"/>
  <c r="J32" i="6"/>
  <c r="I32" i="6"/>
  <c r="H32" i="6"/>
  <c r="G32" i="6"/>
  <c r="F32" i="6"/>
  <c r="E32" i="6"/>
  <c r="M27" i="6"/>
  <c r="L27" i="6"/>
  <c r="K27" i="6"/>
  <c r="J27" i="6"/>
  <c r="I27" i="6"/>
  <c r="H27" i="6"/>
  <c r="G27" i="6"/>
  <c r="F27" i="6"/>
  <c r="E27" i="6"/>
  <c r="F76" i="15"/>
  <c r="G76" i="15"/>
  <c r="H76" i="15"/>
  <c r="I76" i="15"/>
  <c r="J76" i="15"/>
  <c r="K76" i="15"/>
  <c r="L76" i="15"/>
  <c r="M76" i="15"/>
  <c r="N76" i="15"/>
  <c r="O76" i="15"/>
  <c r="F57" i="15" l="1"/>
  <c r="E26" i="15" l="1"/>
  <c r="E126" i="15"/>
  <c r="E113" i="15"/>
  <c r="E44" i="5"/>
  <c r="F127" i="15" l="1"/>
  <c r="G127" i="15" s="1"/>
  <c r="H127" i="15" s="1"/>
  <c r="I127" i="15" s="1"/>
  <c r="J127" i="15" s="1"/>
  <c r="K127" i="15" s="1"/>
  <c r="L127" i="15" s="1"/>
  <c r="M127" i="15" s="1"/>
  <c r="N127" i="15" s="1"/>
  <c r="O127" i="15" s="1"/>
  <c r="E29" i="15" l="1"/>
  <c r="E30" i="15" s="1"/>
  <c r="G29" i="15"/>
  <c r="H29" i="15"/>
  <c r="I29" i="15"/>
  <c r="J29" i="15"/>
  <c r="K29" i="15"/>
  <c r="L29" i="15"/>
  <c r="M29" i="15"/>
  <c r="N29" i="15"/>
  <c r="O29" i="15"/>
  <c r="F29" i="15"/>
  <c r="G26" i="15"/>
  <c r="H26" i="15"/>
  <c r="I26" i="15"/>
  <c r="J26" i="15"/>
  <c r="K26" i="15"/>
  <c r="L26" i="15"/>
  <c r="M26" i="15"/>
  <c r="N26" i="15"/>
  <c r="O26" i="15"/>
  <c r="F26" i="15"/>
  <c r="E27" i="15"/>
  <c r="G99" i="15" l="1"/>
  <c r="H99" i="15"/>
  <c r="I99" i="15"/>
  <c r="J99" i="15"/>
  <c r="K99" i="15"/>
  <c r="L99" i="15"/>
  <c r="M99" i="15"/>
  <c r="N99" i="15"/>
  <c r="O99" i="15"/>
  <c r="F99" i="15"/>
  <c r="G107" i="15"/>
  <c r="H107" i="15"/>
  <c r="I107" i="15"/>
  <c r="J107" i="15"/>
  <c r="K107" i="15"/>
  <c r="L107" i="15"/>
  <c r="M107" i="15"/>
  <c r="N107" i="15"/>
  <c r="O107" i="15"/>
  <c r="G108" i="15"/>
  <c r="H108" i="15"/>
  <c r="I108" i="15"/>
  <c r="J108" i="15"/>
  <c r="K108" i="15"/>
  <c r="L108" i="15"/>
  <c r="M108" i="15"/>
  <c r="N108" i="15"/>
  <c r="O108" i="15"/>
  <c r="F108" i="15"/>
  <c r="F107" i="15"/>
  <c r="G102" i="15"/>
  <c r="H102" i="15"/>
  <c r="I102" i="15"/>
  <c r="J102" i="15"/>
  <c r="K102" i="15"/>
  <c r="K118" i="15" s="1"/>
  <c r="L102" i="15"/>
  <c r="L118" i="15" s="1"/>
  <c r="M102" i="15"/>
  <c r="M118" i="15" s="1"/>
  <c r="N102" i="15"/>
  <c r="O102" i="15"/>
  <c r="G103" i="15"/>
  <c r="G119" i="15" s="1"/>
  <c r="H103" i="15"/>
  <c r="H119" i="15" s="1"/>
  <c r="I103" i="15"/>
  <c r="I119" i="15" s="1"/>
  <c r="J103" i="15"/>
  <c r="J119" i="15" s="1"/>
  <c r="K103" i="15"/>
  <c r="K119" i="15" s="1"/>
  <c r="L103" i="15"/>
  <c r="L119" i="15" s="1"/>
  <c r="M103" i="15"/>
  <c r="M119" i="15" s="1"/>
  <c r="N103" i="15"/>
  <c r="N119" i="15" s="1"/>
  <c r="O103" i="15"/>
  <c r="O119" i="15" s="1"/>
  <c r="F103" i="15"/>
  <c r="F119" i="15" s="1"/>
  <c r="F102" i="15"/>
  <c r="F118" i="15" s="1"/>
  <c r="D4" i="17"/>
  <c r="O5" i="15"/>
  <c r="N5" i="15"/>
  <c r="M5" i="15"/>
  <c r="L5" i="15"/>
  <c r="K5" i="15"/>
  <c r="J5" i="15"/>
  <c r="I5" i="15"/>
  <c r="H5" i="15"/>
  <c r="G5" i="15"/>
  <c r="F5" i="15"/>
  <c r="N118" i="15" l="1"/>
  <c r="H118" i="15"/>
  <c r="I118" i="15"/>
  <c r="J118" i="15"/>
  <c r="G118" i="15"/>
  <c r="O118" i="15"/>
  <c r="E8" i="15"/>
  <c r="D48" i="15" l="1"/>
  <c r="G109" i="15" l="1"/>
  <c r="H109" i="15"/>
  <c r="I109" i="15"/>
  <c r="J109" i="15"/>
  <c r="K109" i="15"/>
  <c r="L109" i="15"/>
  <c r="M109" i="15"/>
  <c r="N109" i="15"/>
  <c r="O109" i="15"/>
  <c r="F109" i="15"/>
  <c r="G104" i="15"/>
  <c r="H104" i="15"/>
  <c r="I104" i="15"/>
  <c r="J104" i="15"/>
  <c r="K104" i="15"/>
  <c r="L104" i="15"/>
  <c r="M104" i="15"/>
  <c r="N104" i="15"/>
  <c r="O104" i="15"/>
  <c r="F104" i="15"/>
  <c r="K120" i="15" l="1"/>
  <c r="K28" i="15"/>
  <c r="L120" i="15"/>
  <c r="L28" i="15"/>
  <c r="H120" i="15"/>
  <c r="H28" i="15"/>
  <c r="O120" i="15"/>
  <c r="O28" i="15"/>
  <c r="I120" i="15"/>
  <c r="I28" i="15"/>
  <c r="F120" i="15"/>
  <c r="F28" i="15"/>
  <c r="F31" i="15"/>
  <c r="N120" i="15"/>
  <c r="N28" i="15"/>
  <c r="J120" i="15"/>
  <c r="J28" i="15"/>
  <c r="G120" i="15"/>
  <c r="G28" i="15"/>
  <c r="M120" i="15"/>
  <c r="M28" i="15"/>
  <c r="G100" i="15"/>
  <c r="H100" i="15"/>
  <c r="I100" i="15"/>
  <c r="J100" i="15"/>
  <c r="K100" i="15"/>
  <c r="L100" i="15"/>
  <c r="M100" i="15"/>
  <c r="N100" i="15"/>
  <c r="O100" i="15"/>
  <c r="F100" i="15"/>
  <c r="G98" i="15"/>
  <c r="H98" i="15"/>
  <c r="I98" i="15"/>
  <c r="J98" i="15"/>
  <c r="K98" i="15"/>
  <c r="L98" i="15"/>
  <c r="M98" i="15"/>
  <c r="N98" i="15"/>
  <c r="O98" i="15"/>
  <c r="F98" i="15"/>
  <c r="D27" i="6" l="1"/>
  <c r="F131" i="15" l="1"/>
  <c r="G131" i="15" s="1"/>
  <c r="H131" i="15" s="1"/>
  <c r="I131" i="15" s="1"/>
  <c r="J131" i="15" s="1"/>
  <c r="K131" i="15" s="1"/>
  <c r="L131" i="15" s="1"/>
  <c r="M131" i="15" s="1"/>
  <c r="N131" i="15" s="1"/>
  <c r="O131" i="15" s="1"/>
  <c r="F241" i="5"/>
  <c r="G241" i="5"/>
  <c r="H241" i="5"/>
  <c r="I241" i="5"/>
  <c r="J241" i="5"/>
  <c r="K241" i="5"/>
  <c r="L241" i="5"/>
  <c r="M241" i="5"/>
  <c r="N241" i="5"/>
  <c r="F244" i="5"/>
  <c r="G244" i="5"/>
  <c r="H244" i="5"/>
  <c r="I244" i="5"/>
  <c r="J244" i="5"/>
  <c r="K244" i="5"/>
  <c r="L244" i="5"/>
  <c r="M244" i="5"/>
  <c r="N244" i="5"/>
  <c r="F247" i="5"/>
  <c r="G247" i="5"/>
  <c r="H247" i="5"/>
  <c r="I247" i="5"/>
  <c r="J247" i="5"/>
  <c r="K247" i="5"/>
  <c r="L247" i="5"/>
  <c r="M247" i="5"/>
  <c r="N247" i="5"/>
  <c r="F250" i="5"/>
  <c r="G250" i="5"/>
  <c r="H250" i="5"/>
  <c r="I250" i="5"/>
  <c r="J250" i="5"/>
  <c r="K250" i="5"/>
  <c r="L250" i="5"/>
  <c r="M250" i="5"/>
  <c r="N250" i="5"/>
  <c r="F253" i="5"/>
  <c r="G253" i="5"/>
  <c r="H253" i="5"/>
  <c r="I253" i="5"/>
  <c r="J253" i="5"/>
  <c r="K253" i="5"/>
  <c r="L253" i="5"/>
  <c r="M253" i="5"/>
  <c r="N253" i="5"/>
  <c r="F256" i="5"/>
  <c r="G256" i="5"/>
  <c r="H256" i="5"/>
  <c r="I256" i="5"/>
  <c r="J256" i="5"/>
  <c r="K256" i="5"/>
  <c r="L256" i="5"/>
  <c r="M256" i="5"/>
  <c r="N256" i="5"/>
  <c r="F259" i="5"/>
  <c r="G259" i="5"/>
  <c r="H259" i="5"/>
  <c r="I259" i="5"/>
  <c r="J259" i="5"/>
  <c r="K259" i="5"/>
  <c r="L259" i="5"/>
  <c r="M259" i="5"/>
  <c r="N259" i="5"/>
  <c r="F262" i="5"/>
  <c r="G262" i="5"/>
  <c r="H262" i="5"/>
  <c r="I262" i="5"/>
  <c r="J262" i="5"/>
  <c r="K262" i="5"/>
  <c r="L262" i="5"/>
  <c r="M262" i="5"/>
  <c r="N262" i="5"/>
  <c r="F206" i="5"/>
  <c r="G206" i="5"/>
  <c r="H206" i="5"/>
  <c r="I206" i="5"/>
  <c r="J206" i="5"/>
  <c r="K206" i="5"/>
  <c r="L206" i="5"/>
  <c r="M206" i="5"/>
  <c r="N206" i="5"/>
  <c r="F209" i="5"/>
  <c r="G209" i="5"/>
  <c r="H209" i="5"/>
  <c r="I209" i="5"/>
  <c r="J209" i="5"/>
  <c r="K209" i="5"/>
  <c r="L209" i="5"/>
  <c r="M209" i="5"/>
  <c r="N209" i="5"/>
  <c r="F212" i="5"/>
  <c r="G212" i="5"/>
  <c r="H212" i="5"/>
  <c r="I212" i="5"/>
  <c r="J212" i="5"/>
  <c r="K212" i="5"/>
  <c r="L212" i="5"/>
  <c r="M212" i="5"/>
  <c r="N212" i="5"/>
  <c r="F44" i="5"/>
  <c r="G44" i="5"/>
  <c r="H44" i="5"/>
  <c r="I44" i="5"/>
  <c r="J44" i="5"/>
  <c r="K44" i="5"/>
  <c r="L44" i="5"/>
  <c r="M44" i="5"/>
  <c r="N44" i="5"/>
  <c r="F47" i="5"/>
  <c r="G47" i="5"/>
  <c r="H47" i="5"/>
  <c r="I47" i="5"/>
  <c r="J47" i="5"/>
  <c r="K47" i="5"/>
  <c r="L47" i="5"/>
  <c r="M47" i="5"/>
  <c r="N47" i="5"/>
  <c r="F50" i="5"/>
  <c r="G50" i="5"/>
  <c r="H50" i="5"/>
  <c r="I50" i="5"/>
  <c r="J50" i="5"/>
  <c r="K50" i="5"/>
  <c r="L50" i="5"/>
  <c r="M50" i="5"/>
  <c r="N50" i="5"/>
  <c r="F16" i="5"/>
  <c r="G16" i="5"/>
  <c r="H16" i="5"/>
  <c r="I16" i="5"/>
  <c r="J16" i="5"/>
  <c r="K16" i="5"/>
  <c r="L16" i="5"/>
  <c r="M16" i="5"/>
  <c r="N16" i="5"/>
  <c r="F19" i="5"/>
  <c r="G19" i="5"/>
  <c r="H19" i="5"/>
  <c r="I19" i="5"/>
  <c r="J19" i="5"/>
  <c r="K19" i="5"/>
  <c r="L19" i="5"/>
  <c r="M19" i="5"/>
  <c r="N19" i="5"/>
  <c r="F22" i="5"/>
  <c r="G22" i="5"/>
  <c r="H22" i="5"/>
  <c r="I22" i="5"/>
  <c r="J22" i="5"/>
  <c r="K22" i="5"/>
  <c r="L22" i="5"/>
  <c r="M22" i="5"/>
  <c r="N22" i="5"/>
  <c r="F25" i="5"/>
  <c r="G25" i="5"/>
  <c r="H25" i="5"/>
  <c r="I25" i="5"/>
  <c r="J25" i="5"/>
  <c r="K25" i="5"/>
  <c r="L25" i="5"/>
  <c r="M25" i="5"/>
  <c r="N25" i="5"/>
  <c r="F28" i="5"/>
  <c r="G28" i="5"/>
  <c r="H28" i="5"/>
  <c r="I28" i="5"/>
  <c r="J28" i="5"/>
  <c r="K28" i="5"/>
  <c r="L28" i="5"/>
  <c r="M28" i="5"/>
  <c r="N28" i="5"/>
  <c r="F31" i="5"/>
  <c r="G31" i="5"/>
  <c r="H31" i="5"/>
  <c r="I31" i="5"/>
  <c r="J31" i="5"/>
  <c r="K31" i="5"/>
  <c r="L31" i="5"/>
  <c r="M31" i="5"/>
  <c r="N31" i="5"/>
  <c r="F34" i="5"/>
  <c r="G34" i="5"/>
  <c r="H34" i="5"/>
  <c r="I34" i="5"/>
  <c r="J34" i="5"/>
  <c r="K34" i="5"/>
  <c r="L34" i="5"/>
  <c r="M34" i="5"/>
  <c r="N34" i="5"/>
  <c r="F37" i="5"/>
  <c r="G37" i="5"/>
  <c r="H37" i="5"/>
  <c r="I37" i="5"/>
  <c r="J37" i="5"/>
  <c r="K37" i="5"/>
  <c r="L37" i="5"/>
  <c r="M37" i="5"/>
  <c r="N37" i="5"/>
  <c r="F40" i="5"/>
  <c r="G40" i="5"/>
  <c r="H40" i="5"/>
  <c r="I40" i="5"/>
  <c r="J40" i="5"/>
  <c r="K40" i="5"/>
  <c r="L40" i="5"/>
  <c r="M40" i="5"/>
  <c r="N40" i="5"/>
  <c r="E117" i="15" l="1"/>
  <c r="D5" i="6" l="1"/>
  <c r="E16" i="15" l="1"/>
  <c r="E14" i="15"/>
  <c r="E268" i="5" l="1"/>
  <c r="E221" i="5"/>
  <c r="F221" i="5"/>
  <c r="G221" i="5"/>
  <c r="H221" i="5"/>
  <c r="I221" i="5"/>
  <c r="J221" i="5"/>
  <c r="K221" i="5"/>
  <c r="L221" i="5"/>
  <c r="M221" i="5"/>
  <c r="N221" i="5"/>
  <c r="E224" i="5"/>
  <c r="F224" i="5"/>
  <c r="G224" i="5"/>
  <c r="H224" i="5"/>
  <c r="I224" i="5"/>
  <c r="J224" i="5"/>
  <c r="K224" i="5"/>
  <c r="L224" i="5"/>
  <c r="M224" i="5"/>
  <c r="N224" i="5"/>
  <c r="E227" i="5"/>
  <c r="F227" i="5"/>
  <c r="G227" i="5"/>
  <c r="H227" i="5"/>
  <c r="I227" i="5"/>
  <c r="J227" i="5"/>
  <c r="K227" i="5"/>
  <c r="L227" i="5"/>
  <c r="M227" i="5"/>
  <c r="N227" i="5"/>
  <c r="E13" i="6" l="1"/>
  <c r="F13" i="6"/>
  <c r="G13" i="6"/>
  <c r="H13" i="6"/>
  <c r="I13" i="6"/>
  <c r="J13" i="6"/>
  <c r="K13" i="6"/>
  <c r="L13" i="6"/>
  <c r="M13" i="6"/>
  <c r="D13" i="6"/>
  <c r="E215" i="5"/>
  <c r="F215" i="5"/>
  <c r="G215" i="5"/>
  <c r="H215" i="5"/>
  <c r="I215" i="5"/>
  <c r="J215" i="5"/>
  <c r="K215" i="5"/>
  <c r="L215" i="5"/>
  <c r="M215" i="5"/>
  <c r="N215" i="5"/>
  <c r="F281" i="5"/>
  <c r="G281" i="5"/>
  <c r="H281" i="5"/>
  <c r="I281" i="5"/>
  <c r="J281" i="5"/>
  <c r="K281" i="5"/>
  <c r="L281" i="5"/>
  <c r="M281" i="5"/>
  <c r="N281" i="5"/>
  <c r="F65" i="5"/>
  <c r="G65" i="5"/>
  <c r="H65" i="5"/>
  <c r="I65" i="5"/>
  <c r="J65" i="5"/>
  <c r="K65" i="5"/>
  <c r="L65" i="5"/>
  <c r="M65" i="5"/>
  <c r="N65" i="5"/>
  <c r="F62" i="5"/>
  <c r="G62" i="5"/>
  <c r="H62" i="5"/>
  <c r="I62" i="5"/>
  <c r="J62" i="5"/>
  <c r="K62" i="5"/>
  <c r="L62" i="5"/>
  <c r="M62" i="5"/>
  <c r="N62" i="5"/>
  <c r="F59" i="5"/>
  <c r="G59" i="5"/>
  <c r="H59" i="5"/>
  <c r="I59" i="5"/>
  <c r="J59" i="5"/>
  <c r="K59" i="5"/>
  <c r="L59" i="5"/>
  <c r="M59" i="5"/>
  <c r="N59" i="5"/>
  <c r="F56" i="5"/>
  <c r="G56" i="5"/>
  <c r="H56" i="5"/>
  <c r="I56" i="5"/>
  <c r="J56" i="5"/>
  <c r="K56" i="5"/>
  <c r="L56" i="5"/>
  <c r="M56" i="5"/>
  <c r="N56" i="5"/>
  <c r="F53" i="5"/>
  <c r="G53" i="5"/>
  <c r="H53" i="5"/>
  <c r="I53" i="5"/>
  <c r="J53" i="5"/>
  <c r="K53" i="5"/>
  <c r="L53" i="5"/>
  <c r="M53" i="5"/>
  <c r="N53" i="5"/>
  <c r="D267" i="5" l="1"/>
  <c r="D264" i="5"/>
  <c r="D261" i="5"/>
  <c r="D258" i="5"/>
  <c r="D255" i="5"/>
  <c r="D252" i="5"/>
  <c r="D249" i="5"/>
  <c r="D246" i="5"/>
  <c r="D243" i="5"/>
  <c r="D240" i="5"/>
  <c r="D24" i="5"/>
  <c r="D27" i="5"/>
  <c r="D30" i="5"/>
  <c r="D33" i="5"/>
  <c r="D39" i="5"/>
  <c r="D36" i="5"/>
  <c r="E122" i="15" l="1"/>
  <c r="F37" i="15"/>
  <c r="F36" i="15" s="1"/>
  <c r="G126" i="15" l="1"/>
  <c r="F126" i="15"/>
  <c r="E121" i="15"/>
  <c r="C202" i="5"/>
  <c r="C199" i="5"/>
  <c r="C196" i="5"/>
  <c r="C193" i="5"/>
  <c r="C190" i="5"/>
  <c r="C187" i="5"/>
  <c r="C184" i="5"/>
  <c r="C181" i="5"/>
  <c r="C178" i="5"/>
  <c r="C175" i="5"/>
  <c r="C172" i="5"/>
  <c r="C149" i="17"/>
  <c r="D149" i="17"/>
  <c r="H149" i="17" s="1"/>
  <c r="D148" i="17"/>
  <c r="H148" i="17" s="1"/>
  <c r="C148" i="17"/>
  <c r="D147" i="17"/>
  <c r="H147" i="17" s="1"/>
  <c r="C147" i="17"/>
  <c r="E11" i="6"/>
  <c r="F11" i="6"/>
  <c r="G11" i="6"/>
  <c r="H11" i="6"/>
  <c r="I11" i="6"/>
  <c r="J11" i="6"/>
  <c r="K11" i="6"/>
  <c r="L11" i="6"/>
  <c r="M11" i="6"/>
  <c r="D11" i="6"/>
  <c r="F287" i="5"/>
  <c r="G287" i="5"/>
  <c r="H287" i="5"/>
  <c r="I287" i="5"/>
  <c r="J287" i="5"/>
  <c r="K287" i="5"/>
  <c r="L287" i="5"/>
  <c r="M287" i="5"/>
  <c r="N287" i="5"/>
  <c r="F290" i="5"/>
  <c r="G290" i="5"/>
  <c r="H290" i="5"/>
  <c r="I290" i="5"/>
  <c r="J290" i="5"/>
  <c r="K290" i="5"/>
  <c r="L290" i="5"/>
  <c r="M290" i="5"/>
  <c r="N290" i="5"/>
  <c r="F293" i="5"/>
  <c r="G293" i="5"/>
  <c r="H293" i="5"/>
  <c r="I293" i="5"/>
  <c r="J293" i="5"/>
  <c r="K293" i="5"/>
  <c r="L293" i="5"/>
  <c r="M293" i="5"/>
  <c r="N293" i="5"/>
  <c r="E293" i="5"/>
  <c r="E290" i="5"/>
  <c r="E287" i="5"/>
  <c r="F278" i="5"/>
  <c r="G278" i="5"/>
  <c r="H278" i="5"/>
  <c r="I278" i="5"/>
  <c r="J278" i="5"/>
  <c r="K278" i="5"/>
  <c r="L278" i="5"/>
  <c r="M278" i="5"/>
  <c r="N278" i="5"/>
  <c r="F275" i="5"/>
  <c r="G275" i="5"/>
  <c r="H275" i="5"/>
  <c r="I275" i="5"/>
  <c r="J275" i="5"/>
  <c r="K275" i="5"/>
  <c r="L275" i="5"/>
  <c r="M275" i="5"/>
  <c r="N275" i="5"/>
  <c r="F272" i="5"/>
  <c r="G272" i="5"/>
  <c r="H272" i="5"/>
  <c r="I272" i="5"/>
  <c r="J272" i="5"/>
  <c r="I31" i="6" s="1"/>
  <c r="K272" i="5"/>
  <c r="J31" i="6" s="1"/>
  <c r="L272" i="5"/>
  <c r="K31" i="6" s="1"/>
  <c r="M272" i="5"/>
  <c r="L31" i="6" s="1"/>
  <c r="N272" i="5"/>
  <c r="M31" i="6" s="1"/>
  <c r="D292" i="5"/>
  <c r="D289" i="5"/>
  <c r="D286" i="5"/>
  <c r="D283" i="5"/>
  <c r="D280" i="5"/>
  <c r="D277" i="5"/>
  <c r="D274" i="5"/>
  <c r="D271" i="5"/>
  <c r="F265" i="5"/>
  <c r="E30" i="6" s="1"/>
  <c r="G265" i="5"/>
  <c r="F30" i="6" s="1"/>
  <c r="H265" i="5"/>
  <c r="G30" i="6" s="1"/>
  <c r="I265" i="5"/>
  <c r="H30" i="6" s="1"/>
  <c r="J265" i="5"/>
  <c r="I30" i="6" s="1"/>
  <c r="K265" i="5"/>
  <c r="J30" i="6" s="1"/>
  <c r="L265" i="5"/>
  <c r="K30" i="6" s="1"/>
  <c r="M265" i="5"/>
  <c r="L30" i="6" s="1"/>
  <c r="N265" i="5"/>
  <c r="F268" i="5"/>
  <c r="G268" i="5"/>
  <c r="H268" i="5"/>
  <c r="I268" i="5"/>
  <c r="J268" i="5"/>
  <c r="K268" i="5"/>
  <c r="L268" i="5"/>
  <c r="M268" i="5"/>
  <c r="N268" i="5"/>
  <c r="E265" i="5"/>
  <c r="E262" i="5"/>
  <c r="E259" i="5"/>
  <c r="E256" i="5"/>
  <c r="E253" i="5"/>
  <c r="E250" i="5"/>
  <c r="D21" i="5"/>
  <c r="D18" i="5"/>
  <c r="D15" i="5"/>
  <c r="D12" i="5"/>
  <c r="D64" i="5"/>
  <c r="D61" i="5"/>
  <c r="D58" i="5"/>
  <c r="D55" i="5"/>
  <c r="D52" i="5"/>
  <c r="D49" i="5"/>
  <c r="D46" i="5"/>
  <c r="D43" i="5"/>
  <c r="D226" i="5"/>
  <c r="D223" i="5"/>
  <c r="D220" i="5"/>
  <c r="D217" i="5"/>
  <c r="D214" i="5"/>
  <c r="D211" i="5"/>
  <c r="D208" i="5"/>
  <c r="D205" i="5"/>
  <c r="E65" i="5"/>
  <c r="E62" i="5"/>
  <c r="E59" i="5"/>
  <c r="E40" i="5"/>
  <c r="E37" i="5"/>
  <c r="E34" i="5"/>
  <c r="E31" i="5"/>
  <c r="E28" i="5"/>
  <c r="E25" i="5"/>
  <c r="E173" i="15"/>
  <c r="E172" i="15"/>
  <c r="E176" i="15" s="1"/>
  <c r="E171" i="15"/>
  <c r="E175" i="15" s="1"/>
  <c r="F135" i="15"/>
  <c r="G135" i="15" s="1"/>
  <c r="H135" i="15" s="1"/>
  <c r="I135" i="15" s="1"/>
  <c r="J135" i="15" s="1"/>
  <c r="K135" i="15" s="1"/>
  <c r="L135" i="15" s="1"/>
  <c r="M135" i="15" s="1"/>
  <c r="N135" i="15" s="1"/>
  <c r="O135" i="15" s="1"/>
  <c r="O172" i="15" s="1"/>
  <c r="F139" i="15"/>
  <c r="G139" i="15" s="1"/>
  <c r="H139" i="15" s="1"/>
  <c r="I139" i="15" s="1"/>
  <c r="J139" i="15" s="1"/>
  <c r="K139" i="15" s="1"/>
  <c r="L139" i="15" s="1"/>
  <c r="M139" i="15" s="1"/>
  <c r="N139" i="15" s="1"/>
  <c r="O139" i="15" s="1"/>
  <c r="F143" i="15"/>
  <c r="G143" i="15" s="1"/>
  <c r="H143" i="15" s="1"/>
  <c r="I143" i="15" s="1"/>
  <c r="J143" i="15" s="1"/>
  <c r="K143" i="15" s="1"/>
  <c r="L143" i="15" s="1"/>
  <c r="M143" i="15" s="1"/>
  <c r="N143" i="15" s="1"/>
  <c r="O143" i="15" s="1"/>
  <c r="F167" i="15"/>
  <c r="G167" i="15" s="1"/>
  <c r="H167" i="15" s="1"/>
  <c r="I167" i="15" s="1"/>
  <c r="J167" i="15" s="1"/>
  <c r="K167" i="15" s="1"/>
  <c r="L167" i="15" s="1"/>
  <c r="M167" i="15" s="1"/>
  <c r="N167" i="15" s="1"/>
  <c r="O167" i="15" s="1"/>
  <c r="F163" i="15"/>
  <c r="G163" i="15" s="1"/>
  <c r="H163" i="15" s="1"/>
  <c r="I163" i="15" s="1"/>
  <c r="J163" i="15" s="1"/>
  <c r="K163" i="15" s="1"/>
  <c r="L163" i="15" s="1"/>
  <c r="M163" i="15" s="1"/>
  <c r="N163" i="15" s="1"/>
  <c r="O163" i="15" s="1"/>
  <c r="F159" i="15"/>
  <c r="G159" i="15" s="1"/>
  <c r="H159" i="15" s="1"/>
  <c r="I159" i="15" s="1"/>
  <c r="J159" i="15" s="1"/>
  <c r="K159" i="15" s="1"/>
  <c r="L159" i="15" s="1"/>
  <c r="M159" i="15" s="1"/>
  <c r="N159" i="15" s="1"/>
  <c r="O159" i="15" s="1"/>
  <c r="F155" i="15"/>
  <c r="G155" i="15" s="1"/>
  <c r="H155" i="15" s="1"/>
  <c r="I155" i="15" s="1"/>
  <c r="J155" i="15" s="1"/>
  <c r="K155" i="15" s="1"/>
  <c r="L155" i="15" s="1"/>
  <c r="M155" i="15" s="1"/>
  <c r="N155" i="15" s="1"/>
  <c r="O155" i="15" s="1"/>
  <c r="F151" i="15"/>
  <c r="G151" i="15" s="1"/>
  <c r="H151" i="15" s="1"/>
  <c r="I151" i="15" s="1"/>
  <c r="J151" i="15" s="1"/>
  <c r="K151" i="15" s="1"/>
  <c r="L151" i="15" s="1"/>
  <c r="M151" i="15" s="1"/>
  <c r="N151" i="15" s="1"/>
  <c r="O151" i="15" s="1"/>
  <c r="F147" i="15"/>
  <c r="G147" i="15" s="1"/>
  <c r="H147" i="15" s="1"/>
  <c r="I147" i="15" s="1"/>
  <c r="J147" i="15" s="1"/>
  <c r="K147" i="15" s="1"/>
  <c r="L147" i="15" s="1"/>
  <c r="M147" i="15" s="1"/>
  <c r="N147" i="15" s="1"/>
  <c r="O147" i="15" s="1"/>
  <c r="E213" i="15"/>
  <c r="E216" i="15" s="1"/>
  <c r="E212" i="15"/>
  <c r="E215" i="15" s="1"/>
  <c r="F180" i="15"/>
  <c r="F184" i="15"/>
  <c r="F188" i="15"/>
  <c r="F192" i="15"/>
  <c r="H31" i="6" l="1"/>
  <c r="G31" i="6"/>
  <c r="F31" i="6"/>
  <c r="E31" i="6"/>
  <c r="M30" i="6"/>
  <c r="L36" i="6"/>
  <c r="K36" i="6"/>
  <c r="J36" i="6"/>
  <c r="I36" i="6"/>
  <c r="M36" i="6"/>
  <c r="H36" i="6"/>
  <c r="G36" i="6"/>
  <c r="F36" i="6"/>
  <c r="G172" i="15"/>
  <c r="N172" i="15"/>
  <c r="M172" i="15"/>
  <c r="L172" i="15"/>
  <c r="O173" i="15"/>
  <c r="K172" i="15"/>
  <c r="J172" i="15"/>
  <c r="I172" i="15"/>
  <c r="H172" i="15"/>
  <c r="N173" i="15"/>
  <c r="M173" i="15"/>
  <c r="L173" i="15"/>
  <c r="K173" i="15"/>
  <c r="J173" i="15"/>
  <c r="I173" i="15"/>
  <c r="H173" i="15"/>
  <c r="G173" i="15"/>
  <c r="F173" i="15"/>
  <c r="G37" i="15"/>
  <c r="G36" i="15" s="1"/>
  <c r="E112" i="15"/>
  <c r="F213" i="15"/>
  <c r="F212" i="15"/>
  <c r="N171" i="15"/>
  <c r="M171" i="15"/>
  <c r="L171" i="15"/>
  <c r="K171" i="15"/>
  <c r="J171" i="15"/>
  <c r="I171" i="15"/>
  <c r="H171" i="15"/>
  <c r="G171" i="15"/>
  <c r="F171" i="15"/>
  <c r="H37" i="15" l="1"/>
  <c r="H36" i="15" s="1"/>
  <c r="H126" i="15"/>
  <c r="I37" i="15" l="1"/>
  <c r="I36" i="15" s="1"/>
  <c r="I126" i="15"/>
  <c r="J37" i="15" l="1"/>
  <c r="J36" i="15" s="1"/>
  <c r="J126" i="15"/>
  <c r="K37" i="15" l="1"/>
  <c r="K36" i="15" s="1"/>
  <c r="K126" i="15"/>
  <c r="L37" i="15" l="1"/>
  <c r="L36" i="15" s="1"/>
  <c r="L126" i="15"/>
  <c r="M37" i="15" l="1"/>
  <c r="M36" i="15" s="1"/>
  <c r="M126" i="15"/>
  <c r="D28" i="6"/>
  <c r="N37" i="15" l="1"/>
  <c r="N36" i="15" s="1"/>
  <c r="N126" i="15"/>
  <c r="O37" i="15" l="1"/>
  <c r="O36" i="15" s="1"/>
  <c r="O126" i="15"/>
  <c r="E36" i="15" l="1"/>
  <c r="E55" i="15"/>
  <c r="E54" i="15"/>
  <c r="E53" i="15"/>
  <c r="E51" i="15"/>
  <c r="E50" i="15"/>
  <c r="E49" i="15"/>
  <c r="E111" i="15" l="1"/>
  <c r="E93" i="15" l="1"/>
  <c r="E92" i="15"/>
  <c r="E87" i="15"/>
  <c r="E88" i="15"/>
  <c r="E80" i="15"/>
  <c r="E76" i="15"/>
  <c r="E86" i="15" s="1"/>
  <c r="E67" i="15"/>
  <c r="E68" i="15"/>
  <c r="E69" i="15"/>
  <c r="E71" i="15"/>
  <c r="E72" i="15"/>
  <c r="E73" i="15"/>
  <c r="E61" i="15"/>
  <c r="E70" i="15" s="1"/>
  <c r="E57" i="15"/>
  <c r="E52" i="15"/>
  <c r="E48" i="15"/>
  <c r="E43" i="15"/>
  <c r="E39" i="15"/>
  <c r="E66" i="15" l="1"/>
  <c r="E75" i="15"/>
  <c r="E25" i="15" l="1"/>
  <c r="E102" i="15" l="1"/>
  <c r="E103" i="15"/>
  <c r="E104" i="15"/>
  <c r="E101" i="15"/>
  <c r="E281" i="5"/>
  <c r="E278" i="5"/>
  <c r="E275" i="5"/>
  <c r="E272" i="5"/>
  <c r="E247" i="5"/>
  <c r="E244" i="5"/>
  <c r="E241" i="5"/>
  <c r="E212" i="5"/>
  <c r="E209" i="5"/>
  <c r="E206" i="5"/>
  <c r="D25" i="6"/>
  <c r="E25" i="6"/>
  <c r="F25" i="6"/>
  <c r="G25" i="6"/>
  <c r="H25" i="6"/>
  <c r="I25" i="6"/>
  <c r="J25" i="6"/>
  <c r="K25" i="6"/>
  <c r="L25" i="6"/>
  <c r="M25" i="6"/>
  <c r="D34" i="6"/>
  <c r="E34" i="6"/>
  <c r="F34" i="6"/>
  <c r="G34" i="6"/>
  <c r="H34" i="6"/>
  <c r="I34" i="6"/>
  <c r="J34" i="6"/>
  <c r="K34" i="6"/>
  <c r="L34" i="6"/>
  <c r="M34" i="6"/>
  <c r="D35" i="6"/>
  <c r="E35" i="6"/>
  <c r="F35" i="6"/>
  <c r="G35" i="6"/>
  <c r="H35" i="6"/>
  <c r="I35" i="6"/>
  <c r="J35" i="6"/>
  <c r="K35" i="6"/>
  <c r="L35" i="6"/>
  <c r="M35" i="6"/>
  <c r="D36" i="6" l="1"/>
  <c r="D30" i="6"/>
  <c r="D32" i="6" l="1"/>
  <c r="E33" i="6" l="1"/>
  <c r="D33" i="6"/>
  <c r="E5" i="6"/>
  <c r="F5" i="6"/>
  <c r="G5" i="6"/>
  <c r="H5" i="6"/>
  <c r="I5" i="6"/>
  <c r="J5" i="6"/>
  <c r="K5" i="6"/>
  <c r="L5" i="6"/>
  <c r="M5" i="6"/>
  <c r="D31" i="6"/>
  <c r="D29" i="6" l="1"/>
  <c r="F33" i="6"/>
  <c r="E29" i="6"/>
  <c r="F29" i="6"/>
  <c r="G33" i="6" l="1"/>
  <c r="G29" i="6"/>
  <c r="H33" i="6" l="1"/>
  <c r="H29" i="6"/>
  <c r="I33" i="6" l="1"/>
  <c r="I29" i="6"/>
  <c r="J33" i="6" l="1"/>
  <c r="J29" i="6"/>
  <c r="E19" i="15"/>
  <c r="E34" i="15" s="1"/>
  <c r="E18" i="15"/>
  <c r="E23" i="15" s="1"/>
  <c r="E22" i="15" s="1"/>
  <c r="F7" i="15"/>
  <c r="E10" i="15"/>
  <c r="G57" i="15"/>
  <c r="H57" i="15"/>
  <c r="I57" i="15"/>
  <c r="J57" i="15"/>
  <c r="K57" i="15"/>
  <c r="L57" i="15"/>
  <c r="M57" i="15"/>
  <c r="N57" i="15"/>
  <c r="O57" i="15"/>
  <c r="G61" i="15"/>
  <c r="I61" i="15"/>
  <c r="J61" i="15"/>
  <c r="K61" i="15"/>
  <c r="L61" i="15"/>
  <c r="M61" i="15"/>
  <c r="N61" i="15"/>
  <c r="O61" i="15"/>
  <c r="F61" i="15"/>
  <c r="F30" i="15" l="1"/>
  <c r="H61" i="15"/>
  <c r="F72" i="15"/>
  <c r="F67" i="15"/>
  <c r="K33" i="6"/>
  <c r="E33" i="15"/>
  <c r="K29" i="6"/>
  <c r="F70" i="15"/>
  <c r="F69" i="15"/>
  <c r="F66" i="15"/>
  <c r="F73" i="15"/>
  <c r="F10" i="15"/>
  <c r="G27" i="15"/>
  <c r="F68" i="15"/>
  <c r="F71" i="15"/>
  <c r="G7" i="15"/>
  <c r="G31" i="15" l="1"/>
  <c r="G30" i="15" s="1"/>
  <c r="F27" i="15"/>
  <c r="E108" i="15"/>
  <c r="E107" i="15"/>
  <c r="E109" i="15"/>
  <c r="E106" i="15"/>
  <c r="E100" i="15"/>
  <c r="E99" i="15"/>
  <c r="E98" i="15"/>
  <c r="E97" i="15"/>
  <c r="E32" i="15"/>
  <c r="E105" i="15" s="1"/>
  <c r="F25" i="15"/>
  <c r="L33" i="6"/>
  <c r="G25" i="15"/>
  <c r="L29" i="6"/>
  <c r="H27" i="15"/>
  <c r="G10" i="15"/>
  <c r="H7" i="15"/>
  <c r="G73" i="15"/>
  <c r="G66" i="15"/>
  <c r="G67" i="15"/>
  <c r="G68" i="15"/>
  <c r="G69" i="15"/>
  <c r="G70" i="15"/>
  <c r="G71" i="15"/>
  <c r="G72" i="15"/>
  <c r="H31" i="15" l="1"/>
  <c r="H30" i="15" s="1"/>
  <c r="M33" i="6"/>
  <c r="H25" i="15"/>
  <c r="M29" i="6"/>
  <c r="I27" i="15"/>
  <c r="H10" i="15"/>
  <c r="I7" i="15"/>
  <c r="H73" i="15"/>
  <c r="D15" i="7" s="1"/>
  <c r="H66" i="15"/>
  <c r="D8" i="7" s="1"/>
  <c r="H69" i="15"/>
  <c r="D11" i="7" s="1"/>
  <c r="H67" i="15"/>
  <c r="D9" i="7" s="1"/>
  <c r="H68" i="15"/>
  <c r="D10" i="7" s="1"/>
  <c r="H70" i="15"/>
  <c r="D12" i="7" s="1"/>
  <c r="H72" i="15"/>
  <c r="D14" i="7" s="1"/>
  <c r="H71" i="15"/>
  <c r="D13" i="7" s="1"/>
  <c r="G80" i="15"/>
  <c r="H80" i="15"/>
  <c r="I80" i="15"/>
  <c r="J80" i="15"/>
  <c r="K80" i="15"/>
  <c r="L80" i="15"/>
  <c r="M80" i="15"/>
  <c r="N80" i="15"/>
  <c r="O80" i="15"/>
  <c r="I31" i="15" l="1"/>
  <c r="I30" i="15" s="1"/>
  <c r="F117" i="15"/>
  <c r="F101" i="15" s="1"/>
  <c r="G117" i="15"/>
  <c r="G101" i="15" s="1"/>
  <c r="L75" i="15"/>
  <c r="N75" i="15"/>
  <c r="M75" i="15"/>
  <c r="I25" i="15"/>
  <c r="O75" i="15"/>
  <c r="K75" i="15"/>
  <c r="J75" i="15"/>
  <c r="G75" i="15"/>
  <c r="G85" i="15" s="1"/>
  <c r="I75" i="15"/>
  <c r="H75" i="15"/>
  <c r="J27" i="15"/>
  <c r="I10" i="15"/>
  <c r="J7" i="15"/>
  <c r="I73" i="15"/>
  <c r="I66" i="15"/>
  <c r="I68" i="15"/>
  <c r="I67" i="15"/>
  <c r="I69" i="15"/>
  <c r="I72" i="15"/>
  <c r="I70" i="15"/>
  <c r="I71" i="15"/>
  <c r="H13" i="16"/>
  <c r="P18" i="16"/>
  <c r="O18" i="16"/>
  <c r="N18" i="16"/>
  <c r="M18" i="16"/>
  <c r="L18" i="16"/>
  <c r="K18" i="16"/>
  <c r="J18" i="16"/>
  <c r="I18" i="16"/>
  <c r="H18" i="16"/>
  <c r="G18" i="16"/>
  <c r="P14" i="16"/>
  <c r="O14" i="16"/>
  <c r="N14" i="16"/>
  <c r="M14" i="16"/>
  <c r="L14" i="16"/>
  <c r="K14" i="16"/>
  <c r="J14" i="16"/>
  <c r="I14" i="16"/>
  <c r="H14" i="16"/>
  <c r="G14" i="16"/>
  <c r="D3" i="17"/>
  <c r="H117" i="15" l="1"/>
  <c r="H101" i="15" s="1"/>
  <c r="G134" i="5"/>
  <c r="F26" i="6" s="1"/>
  <c r="J134" i="5"/>
  <c r="I26" i="6" s="1"/>
  <c r="H134" i="5"/>
  <c r="G26" i="6" s="1"/>
  <c r="L134" i="5"/>
  <c r="K26" i="6" s="1"/>
  <c r="M134" i="5"/>
  <c r="L26" i="6" s="1"/>
  <c r="I134" i="5"/>
  <c r="H26" i="6" s="1"/>
  <c r="N134" i="5"/>
  <c r="M26" i="6" s="1"/>
  <c r="K134" i="5"/>
  <c r="J26" i="6" s="1"/>
  <c r="F4" i="15"/>
  <c r="F22" i="15" s="1"/>
  <c r="H85" i="15"/>
  <c r="D17" i="7" s="1"/>
  <c r="I85" i="15"/>
  <c r="K27" i="15"/>
  <c r="J10" i="15"/>
  <c r="J85" i="15" s="1"/>
  <c r="K7" i="15"/>
  <c r="J70" i="15"/>
  <c r="J71" i="15"/>
  <c r="J72" i="15"/>
  <c r="J67" i="15"/>
  <c r="J73" i="15"/>
  <c r="J66" i="15"/>
  <c r="J68" i="15"/>
  <c r="J69" i="15"/>
  <c r="I13" i="16"/>
  <c r="J31" i="15" l="1"/>
  <c r="J30" i="15" s="1"/>
  <c r="K31" i="15"/>
  <c r="K30" i="15" s="1"/>
  <c r="F8" i="15"/>
  <c r="F33" i="15"/>
  <c r="I117" i="15"/>
  <c r="I101" i="15" s="1"/>
  <c r="G4" i="15"/>
  <c r="G22" i="15" s="1"/>
  <c r="F15" i="15"/>
  <c r="F14" i="15" s="1"/>
  <c r="J25" i="15"/>
  <c r="K25" i="15"/>
  <c r="L27" i="15"/>
  <c r="K10" i="15"/>
  <c r="K85" i="15" s="1"/>
  <c r="L7" i="15"/>
  <c r="K69" i="15"/>
  <c r="K71" i="15"/>
  <c r="K72" i="15"/>
  <c r="K73" i="15"/>
  <c r="K66" i="15"/>
  <c r="K67" i="15"/>
  <c r="K70" i="15"/>
  <c r="K68" i="15"/>
  <c r="J13" i="16"/>
  <c r="L31" i="15" l="1"/>
  <c r="L30" i="15" s="1"/>
  <c r="G8" i="15"/>
  <c r="G33" i="15"/>
  <c r="H4" i="15"/>
  <c r="H22" i="15" s="1"/>
  <c r="G15" i="15"/>
  <c r="G14" i="15" s="1"/>
  <c r="H15" i="15"/>
  <c r="H14" i="15" s="1"/>
  <c r="L25" i="15"/>
  <c r="M27" i="15"/>
  <c r="L10" i="15"/>
  <c r="L85" i="15" s="1"/>
  <c r="E17" i="7" s="1"/>
  <c r="M7" i="15"/>
  <c r="L68" i="15"/>
  <c r="E10" i="7" s="1"/>
  <c r="L69" i="15"/>
  <c r="E11" i="7" s="1"/>
  <c r="L70" i="15"/>
  <c r="E12" i="7" s="1"/>
  <c r="L72" i="15"/>
  <c r="E14" i="7" s="1"/>
  <c r="L73" i="15"/>
  <c r="E15" i="7" s="1"/>
  <c r="L71" i="15"/>
  <c r="E13" i="7" s="1"/>
  <c r="L66" i="15"/>
  <c r="L67" i="15"/>
  <c r="E9" i="7" s="1"/>
  <c r="K13" i="16"/>
  <c r="E56" i="5"/>
  <c r="H8" i="15" l="1"/>
  <c r="M31" i="15"/>
  <c r="M30" i="15" s="1"/>
  <c r="H33" i="15"/>
  <c r="I4" i="15"/>
  <c r="I22" i="15" s="1"/>
  <c r="K117" i="15"/>
  <c r="K101" i="15" s="1"/>
  <c r="J117" i="15"/>
  <c r="J101" i="15" s="1"/>
  <c r="E8" i="7"/>
  <c r="M25" i="15"/>
  <c r="N27" i="15"/>
  <c r="M10" i="15"/>
  <c r="M85" i="15" s="1"/>
  <c r="N7" i="15"/>
  <c r="M67" i="15"/>
  <c r="M69" i="15"/>
  <c r="M70" i="15"/>
  <c r="M72" i="15"/>
  <c r="M71" i="15"/>
  <c r="M73" i="15"/>
  <c r="M66" i="15"/>
  <c r="M68" i="15"/>
  <c r="L13" i="16"/>
  <c r="I15" i="15" l="1"/>
  <c r="I14" i="15" s="1"/>
  <c r="J4" i="15"/>
  <c r="J22" i="15" s="1"/>
  <c r="N31" i="15"/>
  <c r="N30" i="15" s="1"/>
  <c r="I8" i="15"/>
  <c r="I33" i="15"/>
  <c r="L117" i="15"/>
  <c r="L101" i="15" s="1"/>
  <c r="J15" i="15"/>
  <c r="J14" i="15" s="1"/>
  <c r="G21" i="15"/>
  <c r="N25" i="15"/>
  <c r="G32" i="15"/>
  <c r="O27" i="15"/>
  <c r="N10" i="15"/>
  <c r="N85" i="15" s="1"/>
  <c r="O7" i="15"/>
  <c r="N66" i="15"/>
  <c r="N68" i="15"/>
  <c r="N71" i="15"/>
  <c r="N69" i="15"/>
  <c r="N70" i="15"/>
  <c r="N72" i="15"/>
  <c r="N67" i="15"/>
  <c r="N73" i="15"/>
  <c r="K4" i="15"/>
  <c r="K22" i="15" s="1"/>
  <c r="M13" i="16"/>
  <c r="F13" i="5"/>
  <c r="G13" i="5"/>
  <c r="H13" i="5"/>
  <c r="I13" i="5"/>
  <c r="J13" i="5"/>
  <c r="K13" i="5"/>
  <c r="L13" i="5"/>
  <c r="M13" i="5"/>
  <c r="N13" i="5"/>
  <c r="J33" i="15" l="1"/>
  <c r="J8" i="15"/>
  <c r="O31" i="15"/>
  <c r="O30" i="15" s="1"/>
  <c r="K8" i="15"/>
  <c r="K33" i="15"/>
  <c r="M117" i="15"/>
  <c r="M101" i="15" s="1"/>
  <c r="K15" i="15"/>
  <c r="K14" i="15" s="1"/>
  <c r="G20" i="15"/>
  <c r="H21" i="15"/>
  <c r="K9" i="6"/>
  <c r="L9" i="6"/>
  <c r="J9" i="6"/>
  <c r="M10" i="6"/>
  <c r="I9" i="6"/>
  <c r="L10" i="6"/>
  <c r="H9" i="6"/>
  <c r="K10" i="6"/>
  <c r="G9" i="6"/>
  <c r="H10" i="6"/>
  <c r="F9" i="6"/>
  <c r="G10" i="6"/>
  <c r="E10" i="6"/>
  <c r="I10" i="6"/>
  <c r="F10" i="6"/>
  <c r="J10" i="6"/>
  <c r="E9" i="6"/>
  <c r="M9" i="6"/>
  <c r="H32" i="15"/>
  <c r="O25" i="15"/>
  <c r="O10" i="15"/>
  <c r="O85" i="15" s="1"/>
  <c r="F17" i="7" s="1"/>
  <c r="O73" i="15"/>
  <c r="F15" i="7" s="1"/>
  <c r="O66" i="15"/>
  <c r="O67" i="15"/>
  <c r="F9" i="7" s="1"/>
  <c r="O68" i="15"/>
  <c r="F10" i="7" s="1"/>
  <c r="O70" i="15"/>
  <c r="F12" i="7" s="1"/>
  <c r="O69" i="15"/>
  <c r="F11" i="7" s="1"/>
  <c r="O71" i="15"/>
  <c r="F13" i="7" s="1"/>
  <c r="O72" i="15"/>
  <c r="F14" i="7" s="1"/>
  <c r="L4" i="15"/>
  <c r="L22" i="15" s="1"/>
  <c r="N13" i="16"/>
  <c r="L8" i="15" l="1"/>
  <c r="L33" i="15"/>
  <c r="N117" i="15"/>
  <c r="N101" i="15" s="1"/>
  <c r="F8" i="7"/>
  <c r="L15" i="15"/>
  <c r="L14" i="15" s="1"/>
  <c r="H20" i="15"/>
  <c r="D19" i="7" s="1"/>
  <c r="I21" i="15"/>
  <c r="G6" i="6"/>
  <c r="G4" i="6" s="1"/>
  <c r="I32" i="15"/>
  <c r="F6" i="6"/>
  <c r="F4" i="6" s="1"/>
  <c r="E6" i="6"/>
  <c r="E4" i="6" s="1"/>
  <c r="H6" i="6"/>
  <c r="H4" i="6" s="1"/>
  <c r="I6" i="6"/>
  <c r="I4" i="6" s="1"/>
  <c r="J6" i="6"/>
  <c r="J4" i="6" s="1"/>
  <c r="M6" i="6"/>
  <c r="M4" i="6" s="1"/>
  <c r="K6" i="6"/>
  <c r="K4" i="6" s="1"/>
  <c r="L6" i="6"/>
  <c r="L4" i="6" s="1"/>
  <c r="M4" i="15"/>
  <c r="M22" i="15" s="1"/>
  <c r="O13" i="16"/>
  <c r="M8" i="15" l="1"/>
  <c r="M33" i="15"/>
  <c r="O117" i="15"/>
  <c r="O101" i="15" s="1"/>
  <c r="M15" i="15"/>
  <c r="M14" i="15" s="1"/>
  <c r="I20" i="15"/>
  <c r="J21" i="15"/>
  <c r="J32" i="15"/>
  <c r="N4" i="15"/>
  <c r="N22" i="15" s="1"/>
  <c r="P13" i="16"/>
  <c r="E53" i="5"/>
  <c r="E50" i="5"/>
  <c r="E47" i="5"/>
  <c r="E22" i="5"/>
  <c r="E19" i="5"/>
  <c r="E16" i="5"/>
  <c r="E13" i="5"/>
  <c r="G192" i="15"/>
  <c r="H192" i="15" s="1"/>
  <c r="I192" i="15" s="1"/>
  <c r="J192" i="15" s="1"/>
  <c r="K192" i="15" s="1"/>
  <c r="L192" i="15" s="1"/>
  <c r="M192" i="15" s="1"/>
  <c r="N192" i="15" s="1"/>
  <c r="O192" i="15" s="1"/>
  <c r="G188" i="15"/>
  <c r="G184" i="15"/>
  <c r="G180" i="15"/>
  <c r="F80" i="15"/>
  <c r="N8" i="15" l="1"/>
  <c r="N33" i="15"/>
  <c r="D10" i="6"/>
  <c r="D9" i="6"/>
  <c r="N15" i="15"/>
  <c r="N14" i="15" s="1"/>
  <c r="J20" i="15"/>
  <c r="H188" i="15"/>
  <c r="G212" i="15"/>
  <c r="K21" i="15"/>
  <c r="G213" i="15"/>
  <c r="K32" i="15"/>
  <c r="F75" i="15"/>
  <c r="O4" i="15"/>
  <c r="O22" i="15" s="1"/>
  <c r="H180" i="15"/>
  <c r="H184" i="15"/>
  <c r="O8" i="15" l="1"/>
  <c r="O33" i="15"/>
  <c r="E35" i="7"/>
  <c r="D35" i="7"/>
  <c r="F35" i="7"/>
  <c r="F134" i="5"/>
  <c r="E26" i="6" s="1"/>
  <c r="E134" i="5"/>
  <c r="D26" i="6" s="1"/>
  <c r="F85" i="15"/>
  <c r="H213" i="15"/>
  <c r="O15" i="15"/>
  <c r="O14" i="15" s="1"/>
  <c r="K20" i="15"/>
  <c r="I188" i="15"/>
  <c r="H212" i="15"/>
  <c r="L21" i="15"/>
  <c r="L32" i="15"/>
  <c r="I180" i="15"/>
  <c r="I184" i="15"/>
  <c r="I213" i="15" l="1"/>
  <c r="L20" i="15"/>
  <c r="E19" i="7" s="1"/>
  <c r="J188" i="15"/>
  <c r="I212" i="15"/>
  <c r="M21" i="15"/>
  <c r="M32" i="15"/>
  <c r="D6" i="6"/>
  <c r="D4" i="6" s="1"/>
  <c r="F26" i="7" s="1"/>
  <c r="J180" i="15"/>
  <c r="J184" i="15"/>
  <c r="J213" i="15" l="1"/>
  <c r="M20" i="15"/>
  <c r="K188" i="15"/>
  <c r="J212" i="15"/>
  <c r="N21" i="15"/>
  <c r="O32" i="15"/>
  <c r="O21" i="15"/>
  <c r="D26" i="7"/>
  <c r="E26" i="7"/>
  <c r="N32" i="15"/>
  <c r="K180" i="15"/>
  <c r="K184" i="15"/>
  <c r="K213" i="15" l="1"/>
  <c r="O20" i="15"/>
  <c r="N20" i="15"/>
  <c r="F19" i="7"/>
  <c r="L188" i="15"/>
  <c r="K212" i="15"/>
  <c r="L180" i="15"/>
  <c r="L184" i="15"/>
  <c r="L213" i="15" l="1"/>
  <c r="M188" i="15"/>
  <c r="L212" i="15"/>
  <c r="M180" i="15"/>
  <c r="M184" i="15"/>
  <c r="M213" i="15" l="1"/>
  <c r="N188" i="15"/>
  <c r="M212" i="15"/>
  <c r="N180" i="15"/>
  <c r="N184" i="15"/>
  <c r="N213" i="15" l="1"/>
  <c r="O188" i="15"/>
  <c r="N212" i="15"/>
  <c r="O180" i="15"/>
  <c r="O184" i="15"/>
  <c r="O213" i="15" l="1"/>
  <c r="O212" i="15"/>
  <c r="D24" i="6" l="1"/>
  <c r="M24" i="6" l="1"/>
  <c r="E24" i="6" l="1"/>
  <c r="F24" i="6" l="1"/>
  <c r="D24" i="7" s="1"/>
  <c r="G24" i="6" l="1"/>
  <c r="H24" i="6" l="1"/>
  <c r="I24" i="6" l="1"/>
  <c r="J24" i="6" l="1"/>
  <c r="E24" i="7" s="1"/>
  <c r="K24" i="6" l="1"/>
  <c r="L24" i="6"/>
  <c r="F24" i="7" l="1"/>
  <c r="E21" i="15"/>
  <c r="E96" i="15" s="1"/>
  <c r="E20" i="15" l="1"/>
  <c r="E95" i="15" s="1"/>
  <c r="F21" i="15" l="1"/>
  <c r="F32" i="15" l="1"/>
  <c r="F20" i="15" s="1"/>
  <c r="F53" i="15" l="1"/>
  <c r="F44" i="15" s="1"/>
  <c r="F123" i="15" s="1"/>
  <c r="F54" i="15"/>
  <c r="F45" i="15" s="1"/>
  <c r="F124" i="15" s="1"/>
  <c r="G55" i="15" l="1"/>
  <c r="G46" i="15" s="1"/>
  <c r="G125" i="15" s="1"/>
  <c r="I54" i="15"/>
  <c r="I45" i="15" s="1"/>
  <c r="I124" i="15" s="1"/>
  <c r="G54" i="15"/>
  <c r="G45" i="15" s="1"/>
  <c r="G124" i="15" s="1"/>
  <c r="H53" i="15"/>
  <c r="H44" i="15" s="1"/>
  <c r="H123" i="15" s="1"/>
  <c r="J54" i="15" l="1"/>
  <c r="J45" i="15" s="1"/>
  <c r="J124" i="15" s="1"/>
  <c r="I50" i="15"/>
  <c r="I41" i="15" s="1"/>
  <c r="I115" i="15" s="1"/>
  <c r="I216" i="15" s="1"/>
  <c r="I176" i="15" l="1"/>
  <c r="F55" i="15" l="1"/>
  <c r="O53" i="15"/>
  <c r="O44" i="15" s="1"/>
  <c r="O123" i="15" s="1"/>
  <c r="H55" i="15"/>
  <c r="J53" i="15"/>
  <c r="N55" i="15"/>
  <c r="N46" i="15" s="1"/>
  <c r="N125" i="15" s="1"/>
  <c r="N54" i="15"/>
  <c r="N45" i="15" s="1"/>
  <c r="N124" i="15" s="1"/>
  <c r="M55" i="15"/>
  <c r="M46" i="15" s="1"/>
  <c r="M125" i="15" s="1"/>
  <c r="M54" i="15"/>
  <c r="M45" i="15" s="1"/>
  <c r="M124" i="15" s="1"/>
  <c r="L50" i="15"/>
  <c r="L41" i="15" s="1"/>
  <c r="L115" i="15" s="1"/>
  <c r="K49" i="15"/>
  <c r="F50" i="15"/>
  <c r="F41" i="15" s="1"/>
  <c r="F115" i="15" s="1"/>
  <c r="F176" i="15" s="1"/>
  <c r="L49" i="15"/>
  <c r="L40" i="15" s="1"/>
  <c r="L114" i="15" s="1"/>
  <c r="F216" i="15" l="1"/>
  <c r="H46" i="15"/>
  <c r="H125" i="15" s="1"/>
  <c r="J44" i="15"/>
  <c r="K40" i="15"/>
  <c r="F52" i="15"/>
  <c r="F46" i="15"/>
  <c r="F43" i="15" l="1"/>
  <c r="F125" i="15"/>
  <c r="F122" i="15" s="1"/>
  <c r="J123" i="15"/>
  <c r="K114" i="15"/>
  <c r="F121" i="15" l="1"/>
  <c r="F105" i="15" s="1"/>
  <c r="F106" i="15"/>
  <c r="F35" i="15"/>
  <c r="F34" i="15" s="1"/>
  <c r="F19" i="15" s="1"/>
  <c r="I53" i="15" l="1"/>
  <c r="I44" i="15" s="1"/>
  <c r="O49" i="15"/>
  <c r="O40" i="15" s="1"/>
  <c r="O114" i="15" s="1"/>
  <c r="J50" i="15"/>
  <c r="J41" i="15" s="1"/>
  <c r="J115" i="15" s="1"/>
  <c r="J51" i="15"/>
  <c r="J42" i="15" s="1"/>
  <c r="I123" i="15" l="1"/>
  <c r="F51" i="15"/>
  <c r="L54" i="15"/>
  <c r="L45" i="15" s="1"/>
  <c r="L124" i="15" s="1"/>
  <c r="L176" i="15" s="1"/>
  <c r="L53" i="15"/>
  <c r="L44" i="15" s="1"/>
  <c r="L123" i="15" s="1"/>
  <c r="L51" i="15"/>
  <c r="J176" i="15"/>
  <c r="J216" i="15"/>
  <c r="G50" i="15"/>
  <c r="G41" i="15" s="1"/>
  <c r="G115" i="15" s="1"/>
  <c r="H51" i="15"/>
  <c r="H42" i="15" s="1"/>
  <c r="H116" i="15" s="1"/>
  <c r="H50" i="15"/>
  <c r="H41" i="15" s="1"/>
  <c r="H115" i="15" s="1"/>
  <c r="H49" i="15"/>
  <c r="H40" i="15" s="1"/>
  <c r="H114" i="15" s="1"/>
  <c r="H215" i="15" s="1"/>
  <c r="G51" i="15"/>
  <c r="G42" i="15" s="1"/>
  <c r="G116" i="15" s="1"/>
  <c r="M49" i="15"/>
  <c r="N51" i="15"/>
  <c r="J116" i="15"/>
  <c r="I51" i="15"/>
  <c r="O175" i="15"/>
  <c r="O215" i="15"/>
  <c r="J19" i="6" l="1"/>
  <c r="H39" i="15"/>
  <c r="L48" i="15"/>
  <c r="L42" i="15"/>
  <c r="I42" i="15"/>
  <c r="F42" i="15"/>
  <c r="F116" i="15" s="1"/>
  <c r="M40" i="15"/>
  <c r="L216" i="15"/>
  <c r="L215" i="15"/>
  <c r="H175" i="15"/>
  <c r="G176" i="15"/>
  <c r="L175" i="15"/>
  <c r="N42" i="15"/>
  <c r="H113" i="15"/>
  <c r="H24" i="15" s="1"/>
  <c r="H23" i="15" s="1"/>
  <c r="H18" i="15" s="1"/>
  <c r="G216" i="15"/>
  <c r="H48" i="15"/>
  <c r="H97" i="15" l="1"/>
  <c r="M114" i="15"/>
  <c r="L39" i="15"/>
  <c r="L116" i="15"/>
  <c r="L113" i="15" s="1"/>
  <c r="N116" i="15"/>
  <c r="H112" i="15"/>
  <c r="H96" i="15" s="1"/>
  <c r="I116" i="15"/>
  <c r="L24" i="15" l="1"/>
  <c r="L23" i="15" s="1"/>
  <c r="L18" i="15" s="1"/>
  <c r="L112" i="15"/>
  <c r="L96" i="15" s="1"/>
  <c r="L97" i="15"/>
  <c r="F49" i="15" l="1"/>
  <c r="F40" i="15" s="1"/>
  <c r="G53" i="15"/>
  <c r="G52" i="15" s="1"/>
  <c r="G49" i="15"/>
  <c r="G40" i="15" s="1"/>
  <c r="G39" i="15" s="1"/>
  <c r="H54" i="15"/>
  <c r="H45" i="15" s="1"/>
  <c r="I55" i="15"/>
  <c r="I52" i="15" s="1"/>
  <c r="I49" i="15"/>
  <c r="I40" i="15" s="1"/>
  <c r="J55" i="15"/>
  <c r="J46" i="15" s="1"/>
  <c r="J49" i="15"/>
  <c r="J48" i="15" s="1"/>
  <c r="K53" i="15"/>
  <c r="K54" i="15"/>
  <c r="K45" i="15" s="1"/>
  <c r="K124" i="15" s="1"/>
  <c r="K55" i="15"/>
  <c r="K46" i="15" s="1"/>
  <c r="K125" i="15" s="1"/>
  <c r="K50" i="15"/>
  <c r="K41" i="15" s="1"/>
  <c r="K51" i="15"/>
  <c r="K42" i="15"/>
  <c r="K116" i="15" s="1"/>
  <c r="L55" i="15"/>
  <c r="L52" i="15" s="1"/>
  <c r="M53" i="15"/>
  <c r="M52" i="15" s="1"/>
  <c r="M50" i="15"/>
  <c r="M41" i="15" s="1"/>
  <c r="M115" i="15" s="1"/>
  <c r="M51" i="15"/>
  <c r="M42" i="15" s="1"/>
  <c r="M116" i="15" s="1"/>
  <c r="N53" i="15"/>
  <c r="N52" i="15" s="1"/>
  <c r="N49" i="15"/>
  <c r="N50" i="15"/>
  <c r="N41" i="15" s="1"/>
  <c r="O54" i="15"/>
  <c r="O45" i="15" s="1"/>
  <c r="O124" i="15" s="1"/>
  <c r="O55" i="15"/>
  <c r="O46" i="15" s="1"/>
  <c r="O125" i="15" s="1"/>
  <c r="O50" i="15"/>
  <c r="O41" i="15" s="1"/>
  <c r="O51" i="15"/>
  <c r="O42" i="15" s="1"/>
  <c r="O116" i="15" s="1"/>
  <c r="F48" i="15"/>
  <c r="H52" i="15"/>
  <c r="G48" i="15"/>
  <c r="F114" i="15" l="1"/>
  <c r="F113" i="15" s="1"/>
  <c r="F39" i="15"/>
  <c r="L46" i="15"/>
  <c r="L125" i="15" s="1"/>
  <c r="L122" i="15" s="1"/>
  <c r="N44" i="15"/>
  <c r="N123" i="15" s="1"/>
  <c r="N122" i="15" s="1"/>
  <c r="M44" i="15"/>
  <c r="L43" i="15"/>
  <c r="O48" i="15"/>
  <c r="I48" i="15"/>
  <c r="M48" i="15"/>
  <c r="K52" i="15"/>
  <c r="N48" i="15"/>
  <c r="J52" i="15"/>
  <c r="N40" i="15"/>
  <c r="N114" i="15" s="1"/>
  <c r="N175" i="15" s="1"/>
  <c r="O39" i="15"/>
  <c r="N43" i="15"/>
  <c r="O52" i="15"/>
  <c r="N115" i="15"/>
  <c r="N216" i="15" s="1"/>
  <c r="H43" i="15"/>
  <c r="H124" i="15"/>
  <c r="K39" i="15"/>
  <c r="K115" i="15"/>
  <c r="K113" i="15" s="1"/>
  <c r="J43" i="15"/>
  <c r="J125" i="15"/>
  <c r="J122" i="15" s="1"/>
  <c r="I39" i="15"/>
  <c r="I114" i="15"/>
  <c r="G19" i="6" s="1"/>
  <c r="L106" i="15"/>
  <c r="L35" i="15"/>
  <c r="L34" i="15" s="1"/>
  <c r="L19" i="15" s="1"/>
  <c r="L17" i="15" s="1"/>
  <c r="L16" i="15" s="1"/>
  <c r="L121" i="15"/>
  <c r="N121" i="15"/>
  <c r="N105" i="15" s="1"/>
  <c r="N106" i="15"/>
  <c r="N35" i="15"/>
  <c r="N34" i="15" s="1"/>
  <c r="N19" i="15" s="1"/>
  <c r="M39" i="15"/>
  <c r="O122" i="15"/>
  <c r="F175" i="15"/>
  <c r="D19" i="6"/>
  <c r="F215" i="15"/>
  <c r="J40" i="15"/>
  <c r="I46" i="15"/>
  <c r="G114" i="15"/>
  <c r="G44" i="15"/>
  <c r="O115" i="15"/>
  <c r="M19" i="6" s="1"/>
  <c r="K44" i="15"/>
  <c r="O43" i="15"/>
  <c r="K48" i="15"/>
  <c r="M176" i="15"/>
  <c r="M216" i="15"/>
  <c r="M113" i="15"/>
  <c r="M112" i="15" s="1"/>
  <c r="M96" i="15" s="1"/>
  <c r="N39" i="15" l="1"/>
  <c r="N215" i="15"/>
  <c r="M123" i="15"/>
  <c r="M43" i="15"/>
  <c r="N113" i="15"/>
  <c r="L19" i="6"/>
  <c r="N176" i="15"/>
  <c r="K24" i="15"/>
  <c r="K23" i="15" s="1"/>
  <c r="K18" i="15" s="1"/>
  <c r="K97" i="15"/>
  <c r="I215" i="15"/>
  <c r="J35" i="15"/>
  <c r="J34" i="15" s="1"/>
  <c r="J19" i="15" s="1"/>
  <c r="J106" i="15"/>
  <c r="J121" i="15"/>
  <c r="J105" i="15" s="1"/>
  <c r="I125" i="15"/>
  <c r="I122" i="15" s="1"/>
  <c r="I43" i="15"/>
  <c r="K216" i="15"/>
  <c r="K176" i="15"/>
  <c r="G43" i="15"/>
  <c r="G123" i="15"/>
  <c r="G122" i="15" s="1"/>
  <c r="J114" i="15"/>
  <c r="J39" i="15"/>
  <c r="O113" i="15"/>
  <c r="O97" i="15" s="1"/>
  <c r="H176" i="15"/>
  <c r="H216" i="15"/>
  <c r="H122" i="15"/>
  <c r="F19" i="6"/>
  <c r="O176" i="15"/>
  <c r="I113" i="15"/>
  <c r="I97" i="15" s="1"/>
  <c r="O216" i="15"/>
  <c r="F112" i="15"/>
  <c r="F24" i="15"/>
  <c r="F23" i="15" s="1"/>
  <c r="F18" i="15" s="1"/>
  <c r="F17" i="15" s="1"/>
  <c r="F16" i="15" s="1"/>
  <c r="F97" i="15"/>
  <c r="G113" i="15"/>
  <c r="G112" i="15" s="1"/>
  <c r="I175" i="15"/>
  <c r="O106" i="15"/>
  <c r="O121" i="15"/>
  <c r="O105" i="15" s="1"/>
  <c r="O35" i="15"/>
  <c r="O34" i="15" s="1"/>
  <c r="O19" i="15" s="1"/>
  <c r="L111" i="15"/>
  <c r="L105" i="15"/>
  <c r="K112" i="15"/>
  <c r="K123" i="15"/>
  <c r="K43" i="15"/>
  <c r="M97" i="15"/>
  <c r="M24" i="15"/>
  <c r="M23" i="15" s="1"/>
  <c r="M18" i="15" s="1"/>
  <c r="K96" i="15"/>
  <c r="N24" i="15"/>
  <c r="N23" i="15" s="1"/>
  <c r="N18" i="15" s="1"/>
  <c r="N17" i="15" s="1"/>
  <c r="N16" i="15" s="1"/>
  <c r="N97" i="15"/>
  <c r="N112" i="15"/>
  <c r="M175" i="15" l="1"/>
  <c r="M122" i="15"/>
  <c r="M215" i="15"/>
  <c r="K19" i="6"/>
  <c r="G35" i="15"/>
  <c r="G34" i="15" s="1"/>
  <c r="G19" i="15" s="1"/>
  <c r="G106" i="15"/>
  <c r="G121" i="15"/>
  <c r="G105" i="15" s="1"/>
  <c r="O112" i="15"/>
  <c r="H19" i="6"/>
  <c r="J175" i="15"/>
  <c r="J215" i="15"/>
  <c r="J113" i="15"/>
  <c r="G24" i="15"/>
  <c r="G23" i="15" s="1"/>
  <c r="G18" i="15" s="1"/>
  <c r="G17" i="15" s="1"/>
  <c r="G16" i="15" s="1"/>
  <c r="O24" i="15"/>
  <c r="O23" i="15" s="1"/>
  <c r="O18" i="15" s="1"/>
  <c r="O17" i="15" s="1"/>
  <c r="O16" i="15" s="1"/>
  <c r="F96" i="15"/>
  <c r="F111" i="15"/>
  <c r="G97" i="15"/>
  <c r="K175" i="15"/>
  <c r="K215" i="15"/>
  <c r="K122" i="15"/>
  <c r="I19" i="6"/>
  <c r="E20" i="7"/>
  <c r="E37" i="7" s="1"/>
  <c r="J18" i="6"/>
  <c r="K4" i="5"/>
  <c r="J21" i="6" s="1"/>
  <c r="L95" i="15"/>
  <c r="E21" i="7" s="1"/>
  <c r="E22" i="7"/>
  <c r="J20" i="6"/>
  <c r="J17" i="6" s="1"/>
  <c r="J16" i="6" s="1"/>
  <c r="J23" i="6" s="1"/>
  <c r="J38" i="6" s="1"/>
  <c r="H106" i="15"/>
  <c r="H121" i="15"/>
  <c r="H35" i="15"/>
  <c r="H34" i="15" s="1"/>
  <c r="H19" i="15" s="1"/>
  <c r="H17" i="15" s="1"/>
  <c r="H16" i="15" s="1"/>
  <c r="I121" i="15"/>
  <c r="I105" i="15" s="1"/>
  <c r="I106" i="15"/>
  <c r="I35" i="15"/>
  <c r="I34" i="15" s="1"/>
  <c r="I19" i="15" s="1"/>
  <c r="G175" i="15"/>
  <c r="E19" i="6"/>
  <c r="I24" i="15"/>
  <c r="I23" i="15" s="1"/>
  <c r="I18" i="15" s="1"/>
  <c r="I112" i="15"/>
  <c r="I96" i="15" s="1"/>
  <c r="G215" i="15"/>
  <c r="N111" i="15"/>
  <c r="N96" i="15"/>
  <c r="G96" i="15"/>
  <c r="G111" i="15"/>
  <c r="M35" i="15" l="1"/>
  <c r="M34" i="15" s="1"/>
  <c r="M19" i="15" s="1"/>
  <c r="M17" i="15" s="1"/>
  <c r="M16" i="15" s="1"/>
  <c r="M106" i="15"/>
  <c r="M121" i="15"/>
  <c r="F95" i="15"/>
  <c r="D20" i="6"/>
  <c r="E4" i="5"/>
  <c r="D21" i="6" s="1"/>
  <c r="D18" i="6"/>
  <c r="J24" i="15"/>
  <c r="J23" i="15" s="1"/>
  <c r="J18" i="15" s="1"/>
  <c r="J17" i="15" s="1"/>
  <c r="J16" i="15" s="1"/>
  <c r="J97" i="15"/>
  <c r="J112" i="15"/>
  <c r="I111" i="15"/>
  <c r="I95" i="15" s="1"/>
  <c r="K106" i="15"/>
  <c r="K121" i="15"/>
  <c r="K35" i="15"/>
  <c r="K34" i="15" s="1"/>
  <c r="K19" i="15" s="1"/>
  <c r="K17" i="15" s="1"/>
  <c r="K16" i="15" s="1"/>
  <c r="O96" i="15"/>
  <c r="O111" i="15"/>
  <c r="H105" i="15"/>
  <c r="H111" i="15"/>
  <c r="F18" i="6" s="1"/>
  <c r="I17" i="15"/>
  <c r="I16" i="15" s="1"/>
  <c r="M4" i="5"/>
  <c r="L21" i="6" s="1"/>
  <c r="L18" i="6"/>
  <c r="L20" i="6"/>
  <c r="N95" i="15"/>
  <c r="E18" i="6"/>
  <c r="E20" i="6"/>
  <c r="F4" i="5"/>
  <c r="E21" i="6" s="1"/>
  <c r="G95" i="15"/>
  <c r="M105" i="15" l="1"/>
  <c r="M111" i="15"/>
  <c r="D17" i="6"/>
  <c r="D16" i="6" s="1"/>
  <c r="D23" i="6" s="1"/>
  <c r="D38" i="6" s="1"/>
  <c r="D39" i="6" s="1"/>
  <c r="G18" i="6"/>
  <c r="H4" i="5"/>
  <c r="G21" i="6" s="1"/>
  <c r="K105" i="15"/>
  <c r="K111" i="15"/>
  <c r="G20" i="6"/>
  <c r="G17" i="6" s="1"/>
  <c r="J96" i="15"/>
  <c r="J111" i="15"/>
  <c r="D20" i="7"/>
  <c r="D37" i="7" s="1"/>
  <c r="F20" i="6"/>
  <c r="F17" i="6" s="1"/>
  <c r="D22" i="7"/>
  <c r="H95" i="15"/>
  <c r="D21" i="7" s="1"/>
  <c r="G4" i="5"/>
  <c r="F21" i="6" s="1"/>
  <c r="O95" i="15"/>
  <c r="F21" i="7" s="1"/>
  <c r="N4" i="5"/>
  <c r="M21" i="6" s="1"/>
  <c r="F20" i="7"/>
  <c r="F37" i="7" s="1"/>
  <c r="F22" i="7"/>
  <c r="M20" i="6"/>
  <c r="M18" i="6"/>
  <c r="E17" i="6"/>
  <c r="E16" i="6" s="1"/>
  <c r="L17" i="6"/>
  <c r="L16" i="6" s="1"/>
  <c r="L23" i="6" s="1"/>
  <c r="L38" i="6" s="1"/>
  <c r="M17" i="6" l="1"/>
  <c r="D32" i="7"/>
  <c r="L4" i="5"/>
  <c r="K21" i="6" s="1"/>
  <c r="K18" i="6"/>
  <c r="M95" i="15"/>
  <c r="K20" i="6"/>
  <c r="G16" i="6"/>
  <c r="G23" i="6" s="1"/>
  <c r="G38" i="6" s="1"/>
  <c r="F16" i="6"/>
  <c r="F23" i="6" s="1"/>
  <c r="F38" i="6" s="1"/>
  <c r="H18" i="6"/>
  <c r="H20" i="6"/>
  <c r="J95" i="15"/>
  <c r="I4" i="5"/>
  <c r="H21" i="6" s="1"/>
  <c r="K95" i="15"/>
  <c r="J4" i="5"/>
  <c r="I21" i="6" s="1"/>
  <c r="I18" i="6"/>
  <c r="I20" i="6"/>
  <c r="M16" i="6"/>
  <c r="M23" i="6" s="1"/>
  <c r="M38" i="6" s="1"/>
  <c r="E23" i="6"/>
  <c r="E38" i="6" s="1"/>
  <c r="K17" i="6" l="1"/>
  <c r="K16" i="6" s="1"/>
  <c r="K23" i="6" s="1"/>
  <c r="K38" i="6" s="1"/>
  <c r="D25" i="7"/>
  <c r="I17" i="6"/>
  <c r="I16" i="6" s="1"/>
  <c r="I23" i="6" s="1"/>
  <c r="I38" i="6" s="1"/>
  <c r="E32" i="7"/>
  <c r="H17" i="6"/>
  <c r="H16" i="6" s="1"/>
  <c r="F32" i="7"/>
  <c r="E39" i="6"/>
  <c r="D28" i="7"/>
  <c r="H23" i="6" l="1"/>
  <c r="H38" i="6" s="1"/>
  <c r="F25" i="7"/>
  <c r="E25" i="7"/>
  <c r="D30" i="7"/>
  <c r="D31" i="7"/>
  <c r="F39" i="6"/>
  <c r="G39" i="6" s="1"/>
  <c r="H39" i="6" s="1"/>
  <c r="I39" i="6" s="1"/>
  <c r="J39" i="6" s="1"/>
  <c r="K39" i="6" s="1"/>
  <c r="L39" i="6" s="1"/>
  <c r="M39" i="6" s="1"/>
  <c r="D29" i="7"/>
  <c r="E29" i="7" l="1"/>
  <c r="F29" i="7"/>
  <c r="F28" i="7"/>
  <c r="E28" i="7"/>
  <c r="E30" i="7" l="1"/>
  <c r="E31" i="7"/>
  <c r="F30" i="7"/>
  <c r="F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João Brito Ana</author>
  </authors>
  <commentList>
    <comment ref="A24" authorId="0" shapeId="0" xr:uid="{00000000-0006-0000-0000-000001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João Brito Ana</author>
  </authors>
  <commentList>
    <comment ref="B28" authorId="0" shapeId="0" xr:uid="{00000000-0006-0000-0100-000001000000}">
      <text>
        <r>
          <rPr>
            <sz val="9"/>
            <color indexed="81"/>
            <rFont val="Tahoma"/>
            <family val="2"/>
          </rPr>
          <t>Quando o VAL é positivo, devemos concluir pelo avanço do projeto, pois é rentável</t>
        </r>
      </text>
    </comment>
    <comment ref="B29" authorId="0" shapeId="0" xr:uid="{00000000-0006-0000-0100-000002000000}">
      <text>
        <r>
          <rPr>
            <sz val="9"/>
            <color indexed="81"/>
            <rFont val="Tahoma"/>
            <family val="2"/>
          </rPr>
          <t xml:space="preserve">Sinaliza a recuperação do investimento </t>
        </r>
      </text>
    </comment>
    <comment ref="B30" authorId="0" shapeId="0" xr:uid="{00000000-0006-0000-0100-000003000000}">
      <text>
        <r>
          <rPr>
            <sz val="9"/>
            <color indexed="81"/>
            <rFont val="Tahoma"/>
            <family val="2"/>
          </rPr>
          <t>Quanto maior valor obtido, melhor é o projeto</t>
        </r>
      </text>
    </comment>
    <comment ref="B32" authorId="0" shapeId="0" xr:uid="{00000000-0006-0000-0100-000004000000}">
      <text>
        <r>
          <rPr>
            <sz val="9"/>
            <color indexed="81"/>
            <rFont val="Tahoma"/>
            <family val="2"/>
          </rPr>
          <t>Indicador a quantidade a recolher para que, considerando apenas rendimentos tarifários líquidos, a recolha seletiva de biorresíduos não gere prejuízo</t>
        </r>
      </text>
    </comment>
    <comment ref="B37" authorId="0" shapeId="0" xr:uid="{00000000-0006-0000-0100-000005000000}">
      <text>
        <r>
          <rPr>
            <sz val="9"/>
            <color indexed="81"/>
            <rFont val="Tahoma"/>
            <family val="2"/>
          </rPr>
          <t>Baseia-se emdRU67ab – Emissões de CO2 das viaturas de recolha seletiva multimaterial de resíduos urbanos (ERSAR)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João Brito Ana</author>
  </authors>
  <commentList>
    <comment ref="B6" authorId="0" shapeId="0" xr:uid="{00000000-0006-0000-0300-000001000000}">
      <text>
        <r>
          <rPr>
            <sz val="9"/>
            <color indexed="81"/>
            <rFont val="Tahoma"/>
            <family val="2"/>
          </rPr>
          <t>Tarifa cobrada, pelos sistemas em alta, aos municípios pelo encaminhamento dos seus resíduos indiferenciados, por tonelada</t>
        </r>
      </text>
    </comment>
    <comment ref="B7" authorId="0" shapeId="0" xr:uid="{00000000-0006-0000-0300-000002000000}">
      <text>
        <r>
          <rPr>
            <sz val="9"/>
            <color indexed="81"/>
            <rFont val="Tahoma"/>
            <family val="2"/>
          </rPr>
          <t>Taxa de gestão de resíduos cobrada, pelos sistemas em alta, aos municípios pela deposição dos seus resíduos indiferenciados em aterro, por tonelada</t>
        </r>
      </text>
    </comment>
    <comment ref="B106" authorId="0" shapeId="0" xr:uid="{00000000-0006-0000-0300-000003000000}">
      <text>
        <r>
          <rPr>
            <sz val="9"/>
            <color indexed="81"/>
            <rFont val="Tahoma"/>
            <family val="2"/>
          </rPr>
          <t xml:space="preserve">Montante correspondente ao aumento da diferença entre Ativos Correntes e Passivos Correntes
</t>
        </r>
      </text>
    </comment>
    <comment ref="B109" authorId="0" shapeId="0" xr:uid="{00000000-0006-0000-0300-000004000000}">
      <text>
        <r>
          <rPr>
            <sz val="9"/>
            <color indexed="81"/>
            <rFont val="Tahoma"/>
            <family val="2"/>
          </rPr>
          <t>Rendimentos operacionais resultantes da aplicação de tarifas fixas, variáveis e serviços auxiliares, anuais, pela prestação do serviço de gestão seletiva de biorresíduos, por produtor (doméstico e não doméstico)</t>
        </r>
      </text>
    </comment>
    <comment ref="B110" authorId="0" shapeId="0" xr:uid="{00000000-0006-0000-0300-000005000000}">
      <text>
        <r>
          <rPr>
            <sz val="9"/>
            <color indexed="81"/>
            <rFont val="Tahoma"/>
            <family val="2"/>
          </rPr>
          <t>Rendimentos operacionais (que não decorrem da aplicação de tarifas fixas, tarifas variáveis e serviços auxiliares), financeiros e extraordinários, anuais, inerentes à prestação do serviço de gestão seletiva de biorresíduos, por produtor (doméstico e não doméstico). Não inclui rendimentos decorrentes de subsídios ao investimento nem de subsídios à exploração.</t>
        </r>
      </text>
    </comment>
    <comment ref="B112" authorId="0" shapeId="0" xr:uid="{00000000-0006-0000-0300-000006000000}">
      <text>
        <r>
          <rPr>
            <sz val="9"/>
            <color indexed="81"/>
            <rFont val="Tahoma"/>
            <family val="2"/>
          </rPr>
          <t>Tarifa em alta cobrada (i.e., não evitada), pelos sistemas em alta, aos municípios pelo encaminhamento dos seus biorresíduos, por tonelada</t>
        </r>
      </text>
    </comment>
    <comment ref="B134" authorId="0" shapeId="0" xr:uid="{00000000-0006-0000-0300-000007000000}">
      <text>
        <r>
          <rPr>
            <sz val="9"/>
            <color indexed="81"/>
            <rFont val="Tahoma"/>
            <family val="2"/>
          </rPr>
          <t xml:space="preserve">O modelo de cálculo da campanha de sensibilização desenhado para a separação e reciclagem na origem e recolha de biorresíduos, a aplicar a cada município, prevê que esta se desenvolva no máximo de 10 anos, em duas fases:
• Fase de implementação, a qual acompanha a instalação da recolha de biorresíduos no terreno, através da sensibilização/formação dos produtores de biorresíduos alvo;
• Fase de reforço, a qual se dirige ao controlo e correção de desvios da deposição, e à manutenção da sensibilização dos produtores de biorresíduos com recolha seletiva de biorresíduos ou reciclagem na origem.
</t>
        </r>
      </text>
    </comment>
    <comment ref="B135" authorId="0" shapeId="0" xr:uid="{00000000-0006-0000-0300-000008000000}">
      <text>
        <r>
          <rPr>
            <sz val="9"/>
            <color indexed="81"/>
            <rFont val="Tahoma"/>
            <family val="2"/>
          </rPr>
          <t>Gastos com leasing de viaturas, correspondentes à especificação de preço e quantidade de viaturas contratadas. Para cada tipo de viatura o município deve indicar a que tipo de recolha seletiva esta se destina através da coluna “Seleção”</t>
        </r>
      </text>
    </comment>
    <comment ref="B169" authorId="0" shapeId="0" xr:uid="{00000000-0006-0000-0300-000009000000}">
      <text>
        <r>
          <rPr>
            <sz val="9"/>
            <color indexed="81"/>
            <rFont val="Tahoma"/>
            <family val="2"/>
          </rPr>
          <t>Gastos em combustíveis/energia utilizada pelas diferentes viaturas, especificando preço e quantidade consumida. Esta variável encontra-se organizada por tipo de viatura, tendo em consideração a capacidade (m3). O município deve escolher na coluna “Seleção” o tipo de combustível (gasolina, gás natural e gasóleo) utilizado. Para efeitos de simplificação do exercício admite-se que viaturas da mesma capacidade (m3) utilizam o mesmo tipo de combustível.</t>
        </r>
      </text>
    </comment>
    <comment ref="B338" authorId="0" shapeId="0" xr:uid="{00000000-0006-0000-0300-00000A000000}">
      <text>
        <r>
          <rPr>
            <sz val="9"/>
            <color indexed="81"/>
            <rFont val="Tahoma"/>
            <family val="2"/>
          </rPr>
          <t>Valor de outros custos fixos, incluindo, nomeadamente, gastos com monitorização e fiscalização.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João Brito Ana</author>
  </authors>
  <commentList>
    <comment ref="B4" authorId="0" shapeId="0" xr:uid="{00000000-0006-0000-0400-000001000000}">
      <text>
        <r>
          <rPr>
            <sz val="9"/>
            <color indexed="81"/>
            <rFont val="Tahoma"/>
            <family val="2"/>
          </rPr>
          <t xml:space="preserve">Número médio de habitantes residentes que integram o município.
Deve ser indicado o número médio de habitantes residentes referentes ao ano 2019, valor a obter no site do INE.
</t>
        </r>
      </text>
    </comment>
    <comment ref="B7" authorId="0" shapeId="0" xr:uid="{00000000-0006-0000-0400-000002000000}">
      <text>
        <r>
          <rPr>
            <sz val="9"/>
            <color indexed="81"/>
            <rFont val="Tahoma"/>
            <family val="2"/>
          </rPr>
          <t>Número total de alojamentos familiares e coletivos existentes no município</t>
        </r>
      </text>
    </comment>
    <comment ref="B11" authorId="0" shapeId="0" xr:uid="{00000000-0006-0000-0400-000003000000}">
      <text>
        <r>
          <rPr>
            <sz val="9"/>
            <color indexed="81"/>
            <rFont val="Tahoma"/>
            <family val="2"/>
          </rPr>
          <t xml:space="preserve">Número de estabelecimentos, existentes no município com atividade económica relativa a hotéis, restaurantes e cafés.
</t>
        </r>
      </text>
    </comment>
    <comment ref="B12" authorId="0" shapeId="0" xr:uid="{00000000-0006-0000-0400-000004000000}">
      <text>
        <r>
          <rPr>
            <sz val="9"/>
            <color indexed="81"/>
            <rFont val="Tahoma"/>
            <family val="2"/>
          </rPr>
          <t xml:space="preserve">Número de estabelecimentos, existentes no município com produção significativa de resíduos alimentares que não possuam uma atividade económica relativa a hotéis, restaurantes e cafés. </t>
        </r>
      </text>
    </comment>
    <comment ref="B38" authorId="0" shapeId="0" xr:uid="{00000000-0006-0000-0400-000006000000}">
      <text>
        <r>
          <rPr>
            <sz val="9"/>
            <color indexed="81"/>
            <rFont val="Tahoma"/>
            <family val="2"/>
          </rPr>
          <t xml:space="preserve">O método 1 estima a população residente para 2021-2030 tendo em consideração o número efetivo de habitantes residentes em cada alojamento, segundo a BGE ou BGRI de 2011.
O método 2 estima a população residente para 2021-2030 tendo em consideração o número médio de habitantes por alojamento, em cada ano civil.
</t>
        </r>
      </text>
    </comment>
    <comment ref="B47" authorId="0" shapeId="0" xr:uid="{00000000-0006-0000-0400-000007000000}">
      <text>
        <r>
          <rPr>
            <sz val="9"/>
            <color indexed="81"/>
            <rFont val="Tahoma"/>
            <family val="2"/>
          </rPr>
          <t>O método de cálculo para a taxa de população servida é definido pelo método de cálculo que o município escolhe para o cálculo do número de habitantes servidos com recolha seletiva e reciclagem na origem dos biorresíduos</t>
        </r>
      </text>
    </comment>
  </commentList>
</comments>
</file>

<file path=xl/sharedStrings.xml><?xml version="1.0" encoding="utf-8"?>
<sst xmlns="http://schemas.openxmlformats.org/spreadsheetml/2006/main" count="2017" uniqueCount="704">
  <si>
    <t>Norte</t>
  </si>
  <si>
    <t>Centro</t>
  </si>
  <si>
    <t>Área Metropolitana de Lisboa</t>
  </si>
  <si>
    <t>Alentejo</t>
  </si>
  <si>
    <t>Algarve</t>
  </si>
  <si>
    <t>População</t>
  </si>
  <si>
    <t>Variáveis</t>
  </si>
  <si>
    <t>Unidade</t>
  </si>
  <si>
    <t>hab</t>
  </si>
  <si>
    <t>Seleção</t>
  </si>
  <si>
    <t>População servida com recolha seletiva e reciclagem na origem dos biorresíduos</t>
  </si>
  <si>
    <t>Taxa da população servida com recolha seletiva e reciclagem na origem dos biorresíduos</t>
  </si>
  <si>
    <t>%</t>
  </si>
  <si>
    <t>t</t>
  </si>
  <si>
    <t>nº</t>
  </si>
  <si>
    <t>Capacidade</t>
  </si>
  <si>
    <t>Variação da população</t>
  </si>
  <si>
    <t>Contentor - Tipo A</t>
  </si>
  <si>
    <t>Contentor - Tipo B</t>
  </si>
  <si>
    <t>Contentor - Tipo C</t>
  </si>
  <si>
    <t>Contentor - Tipo D</t>
  </si>
  <si>
    <t>Contentor - Tipo E</t>
  </si>
  <si>
    <t>Viatura - Tipo A</t>
  </si>
  <si>
    <t>m³</t>
  </si>
  <si>
    <t>Viatura - Tipo B</t>
  </si>
  <si>
    <t>Viatura - Tipo C</t>
  </si>
  <si>
    <t>Viatura - Tipo D</t>
  </si>
  <si>
    <t>Viatura - Tipo E</t>
  </si>
  <si>
    <t>Contentorização via pública</t>
  </si>
  <si>
    <t>Porta-a-porta</t>
  </si>
  <si>
    <t>Reciclagem na origem</t>
  </si>
  <si>
    <t>Via pública</t>
  </si>
  <si>
    <t>Produtores não domésticos servidos com recolha seletiva e reciclagem na origem dos biorresíduos</t>
  </si>
  <si>
    <t>Taxa de produtores não domésticos servidos com recolha seletiva e reciclagem na origem dos biorresíduos</t>
  </si>
  <si>
    <t>Quantidade biorresíduos recolhidos seletivamente</t>
  </si>
  <si>
    <t>Taxa de captura</t>
  </si>
  <si>
    <t>Contentorização via pública (doméstico)</t>
  </si>
  <si>
    <t>Contentorização via pública (não doméstico)</t>
  </si>
  <si>
    <t>Porta-a-porta (doméstico)</t>
  </si>
  <si>
    <t>Porta-a-porta  (não doméstico)</t>
  </si>
  <si>
    <t>Alojamentos</t>
  </si>
  <si>
    <t>Quantidade (total)</t>
  </si>
  <si>
    <t>Quantidade (novas aquisições)</t>
  </si>
  <si>
    <t>€</t>
  </si>
  <si>
    <t>Viaturas</t>
  </si>
  <si>
    <t>n.º</t>
  </si>
  <si>
    <t>Contentores</t>
  </si>
  <si>
    <t>Software</t>
  </si>
  <si>
    <t>Rendimento tarifários</t>
  </si>
  <si>
    <t>Outros rendimentos operacionais</t>
  </si>
  <si>
    <t>Campanhas de sensibilização</t>
  </si>
  <si>
    <t>Combustíveis</t>
  </si>
  <si>
    <t>Pessoal</t>
  </si>
  <si>
    <t>Ativos não correntes</t>
  </si>
  <si>
    <t>Tangíveis</t>
  </si>
  <si>
    <t>Intangíveis</t>
  </si>
  <si>
    <t>Rendimentos</t>
  </si>
  <si>
    <t>Custos evitados</t>
  </si>
  <si>
    <t>Gastos</t>
  </si>
  <si>
    <t>Alojamentos existentes</t>
  </si>
  <si>
    <t>Alojamentos servidos com recolha seletiva e reciclagem na origem dos biorresíduos</t>
  </si>
  <si>
    <t>Taxa de alojamentos servido com recolha seletiva e reciclagem na origem dos biorresíduos</t>
  </si>
  <si>
    <t>Cenário I</t>
  </si>
  <si>
    <t>Resíduos alimentares</t>
  </si>
  <si>
    <t>Resíduos verdes</t>
  </si>
  <si>
    <t>Biorresíduos</t>
  </si>
  <si>
    <t>Produtores não domésticos existentes</t>
  </si>
  <si>
    <t>Resíduos alimentares domésticos</t>
  </si>
  <si>
    <t>Resíduos alimentares não domésticos</t>
  </si>
  <si>
    <t>Taxa de reciclagem</t>
  </si>
  <si>
    <t>Sustentabilidade ambiental</t>
  </si>
  <si>
    <t>Observações</t>
  </si>
  <si>
    <t>Nota explicativa</t>
  </si>
  <si>
    <t>Preencha os campos em branco com o valor, em percentagem (%), da variação da população, relativamente ao ano anterior</t>
  </si>
  <si>
    <t>t/(estabelecimento.ano)</t>
  </si>
  <si>
    <t>Preencha o campo em branco com a capitação anual de resíduos alimentares estimada para o ano de 2019, para os restaurantes</t>
  </si>
  <si>
    <t>Preencha o campo em branco com a capitação anual de resíduos alimentares estimada para o ano de 2019, para os cafés</t>
  </si>
  <si>
    <t>População média anual residente</t>
  </si>
  <si>
    <t>Manutenção e lavagem de viaturas</t>
  </si>
  <si>
    <t>Manutenção e lavagem de contentores</t>
  </si>
  <si>
    <t>Viaturas de lavagem (apenas)</t>
  </si>
  <si>
    <t>Outros custos variáveis</t>
  </si>
  <si>
    <t>Outros custos fixos</t>
  </si>
  <si>
    <t>Quantidade potencial de biorresíduos nos resíduos indiferenciados</t>
  </si>
  <si>
    <t>BT2</t>
  </si>
  <si>
    <t>BT3</t>
  </si>
  <si>
    <t>BT8</t>
  </si>
  <si>
    <t>BT10</t>
  </si>
  <si>
    <t>BT11</t>
  </si>
  <si>
    <t>BT12</t>
  </si>
  <si>
    <t>BT13</t>
  </si>
  <si>
    <t>BT14</t>
  </si>
  <si>
    <t>BT21</t>
  </si>
  <si>
    <t>BT101</t>
  </si>
  <si>
    <t>BE2</t>
  </si>
  <si>
    <t>BE3</t>
  </si>
  <si>
    <t>BE4</t>
  </si>
  <si>
    <t>BT1</t>
  </si>
  <si>
    <t>BT9</t>
  </si>
  <si>
    <t>ID</t>
  </si>
  <si>
    <t xml:space="preserve">Capitação anual </t>
  </si>
  <si>
    <t>Produtores não domésticos</t>
  </si>
  <si>
    <t>Quantidade potencial de biorresíduos</t>
  </si>
  <si>
    <t>Taxa de captura de biorresíduos</t>
  </si>
  <si>
    <t>Quantidade de biorresíduos recolhidos seletivamente</t>
  </si>
  <si>
    <t>Acessibilidade ao serviço de recolha</t>
  </si>
  <si>
    <t>Quantidade de biorresíduos</t>
  </si>
  <si>
    <t>Indicadores</t>
  </si>
  <si>
    <t>Caracterização física dos resíduos indiferenciados</t>
  </si>
  <si>
    <t>Valor proposto pelo município</t>
  </si>
  <si>
    <t>Selecione a percentagem de resíduos alimentares nos resíduos indiferenciados</t>
  </si>
  <si>
    <t>Selecione a percentagem de resíduos verdes nos resíduos indiferenciados</t>
  </si>
  <si>
    <t>Percentagem de resíduos alimentares em resíduos indiferenciados</t>
  </si>
  <si>
    <t>Percentagem de resíduos verdes em resíduos indiferenciados</t>
  </si>
  <si>
    <t>Investimento</t>
  </si>
  <si>
    <t>Quantidade</t>
  </si>
  <si>
    <t>Equipamento - Tipo A</t>
  </si>
  <si>
    <t>Equipamento - Tipo B</t>
  </si>
  <si>
    <t>Equipamento - Tipo C</t>
  </si>
  <si>
    <t>Equipamento - Tipo D</t>
  </si>
  <si>
    <t>Software - Tipo A</t>
  </si>
  <si>
    <t>Software - Tipo B</t>
  </si>
  <si>
    <t>Software - Tipo C</t>
  </si>
  <si>
    <t>Selecione a taxa de captura</t>
  </si>
  <si>
    <t>Selecione a tipologia do sistema de recolha a que o equipamento se destina</t>
  </si>
  <si>
    <t>Fluxo de exploração</t>
  </si>
  <si>
    <t>Tipo A</t>
  </si>
  <si>
    <t>l</t>
  </si>
  <si>
    <t xml:space="preserve"> Manutenção de software</t>
  </si>
  <si>
    <t>Quadro (nº, FTE)</t>
  </si>
  <si>
    <t xml:space="preserve"> Manutenção de outros equipamentos</t>
  </si>
  <si>
    <t>Custo do capital</t>
  </si>
  <si>
    <t>ano</t>
  </si>
  <si>
    <t>Unidades</t>
  </si>
  <si>
    <t>Fluxo de investimento</t>
  </si>
  <si>
    <t>Outros custos</t>
  </si>
  <si>
    <t>BE21</t>
  </si>
  <si>
    <t>BE22</t>
  </si>
  <si>
    <t>BE44</t>
  </si>
  <si>
    <t>Pessoal - Tipo A</t>
  </si>
  <si>
    <t>Pessoal - Tipo B</t>
  </si>
  <si>
    <t>Pessoal - Tipo C</t>
  </si>
  <si>
    <t>BE45</t>
  </si>
  <si>
    <t>BE46</t>
  </si>
  <si>
    <t>Total dos benefícios</t>
  </si>
  <si>
    <t>Total dos rendimentos</t>
  </si>
  <si>
    <t>Fluxo total acumulado</t>
  </si>
  <si>
    <t>Fluxo de investimento total</t>
  </si>
  <si>
    <t>Manutenção de software</t>
  </si>
  <si>
    <t>Manutenção de outros equipamentos</t>
  </si>
  <si>
    <t>Outros custos (variáveis e fixos)</t>
  </si>
  <si>
    <t>Gastos com leasing de viaturas</t>
  </si>
  <si>
    <t>Contratação em outsourcing do serviço de recolha</t>
  </si>
  <si>
    <t>BE47</t>
  </si>
  <si>
    <t>Preencha o campo em branco com a percentagem de resíduos alimentares em resíduos indiferenciados</t>
  </si>
  <si>
    <t>Preencha o campo em branco com a percentagem de resíduos verdes em resíduos indiferenciados</t>
  </si>
  <si>
    <t>Taxa captura</t>
  </si>
  <si>
    <r>
      <t>Contratação em o</t>
    </r>
    <r>
      <rPr>
        <i/>
        <sz val="11"/>
        <color rgb="FF000000"/>
        <rFont val="Calibri"/>
        <family val="2"/>
        <scheme val="minor"/>
      </rPr>
      <t>utsourcing</t>
    </r>
    <r>
      <rPr>
        <sz val="11"/>
        <color rgb="FF000000"/>
        <rFont val="Calibri"/>
        <family val="2"/>
        <scheme val="minor"/>
      </rPr>
      <t> do serviço de recolha</t>
    </r>
  </si>
  <si>
    <t>Salário + encargos/ano</t>
  </si>
  <si>
    <t>BA2</t>
  </si>
  <si>
    <t>BA3</t>
  </si>
  <si>
    <t>BA4</t>
  </si>
  <si>
    <t>BA5</t>
  </si>
  <si>
    <t>Taxa de variação da população residente</t>
  </si>
  <si>
    <t>Outros estabelecimentos</t>
  </si>
  <si>
    <t>BD1</t>
  </si>
  <si>
    <t>BD2</t>
  </si>
  <si>
    <t>BD3</t>
  </si>
  <si>
    <t>BD4</t>
  </si>
  <si>
    <t>BD5</t>
  </si>
  <si>
    <t>BD6</t>
  </si>
  <si>
    <t>BC1</t>
  </si>
  <si>
    <t>BC2</t>
  </si>
  <si>
    <t>BC21</t>
  </si>
  <si>
    <t>BC22</t>
  </si>
  <si>
    <t>BC23</t>
  </si>
  <si>
    <t>Tipo B</t>
  </si>
  <si>
    <t>Tipo C</t>
  </si>
  <si>
    <t>Tipo E</t>
  </si>
  <si>
    <t>Tipo D</t>
  </si>
  <si>
    <t>Tipo F</t>
  </si>
  <si>
    <t>Preço unitário</t>
  </si>
  <si>
    <t>BE31</t>
  </si>
  <si>
    <t>BE32</t>
  </si>
  <si>
    <t>BE33</t>
  </si>
  <si>
    <t>BE34</t>
  </si>
  <si>
    <t>BE35</t>
  </si>
  <si>
    <t>BE36</t>
  </si>
  <si>
    <t>BE41</t>
  </si>
  <si>
    <t>BE42</t>
  </si>
  <si>
    <t>BE43</t>
  </si>
  <si>
    <t>Valor</t>
  </si>
  <si>
    <t>BA1</t>
  </si>
  <si>
    <t>Selecione a região (NUTS II)</t>
  </si>
  <si>
    <t>Contentores de recolha seletiva e reciclagem na origem dos biorresíduos</t>
  </si>
  <si>
    <t>Equipamentos de recolha</t>
  </si>
  <si>
    <t>Viaturas afetas à recolha seletiva de biorresíduos</t>
  </si>
  <si>
    <t>Capitação anual de resíduos alimentares em produtores não domésticos</t>
  </si>
  <si>
    <t>Notas</t>
  </si>
  <si>
    <t>VP</t>
  </si>
  <si>
    <t>PAP</t>
  </si>
  <si>
    <t>RO</t>
  </si>
  <si>
    <t>VP+PAP</t>
  </si>
  <si>
    <t>VP+RO</t>
  </si>
  <si>
    <t>PAP+RO</t>
  </si>
  <si>
    <t>VP+PAP+RO</t>
  </si>
  <si>
    <t>Selecione a tipologia do cenário</t>
  </si>
  <si>
    <t>Selecione o número do cenário</t>
  </si>
  <si>
    <t>Cenário II</t>
  </si>
  <si>
    <t>Cenário III</t>
  </si>
  <si>
    <t>Cenário IV</t>
  </si>
  <si>
    <t>Cenário V</t>
  </si>
  <si>
    <t>Cenário VI</t>
  </si>
  <si>
    <t>Cenário VII</t>
  </si>
  <si>
    <t>Cenário VIII</t>
  </si>
  <si>
    <t>Cenário IX</t>
  </si>
  <si>
    <t>Cenário X</t>
  </si>
  <si>
    <t>Sustentabilidade económico-financeira</t>
  </si>
  <si>
    <t>Viabilidade do projeto - Indicadores económico-financeiros</t>
  </si>
  <si>
    <t>Total do investimento</t>
  </si>
  <si>
    <t xml:space="preserve"> Software</t>
  </si>
  <si>
    <t>Número de contentores de recolha seletiva e reciclagem na origem dos biorresíduos</t>
  </si>
  <si>
    <t>Fundo de maneio</t>
  </si>
  <si>
    <t>Outros equipamentos</t>
  </si>
  <si>
    <t>Seguros + IUC + Inspeção de viaturas</t>
  </si>
  <si>
    <t>Capacidade total de contentorização da recolha seletiva e reciclagem na origem dos biorresíduos</t>
  </si>
  <si>
    <t xml:space="preserve">Rentabilização do parque de viaturas de recolha seletiva de biorresíduos </t>
  </si>
  <si>
    <t xml:space="preserve">Número médio de descargas de um contentor de recolha de biorresíduos realizado, por semana </t>
  </si>
  <si>
    <t xml:space="preserve">Número médio de descargas de uma viatura de recolha de biorresíduos realizado, por semana </t>
  </si>
  <si>
    <t>BT22</t>
  </si>
  <si>
    <t>BT23</t>
  </si>
  <si>
    <t>BT41</t>
  </si>
  <si>
    <t>BT42</t>
  </si>
  <si>
    <t>p</t>
  </si>
  <si>
    <t>q</t>
  </si>
  <si>
    <t>BT5</t>
  </si>
  <si>
    <t>BT51</t>
  </si>
  <si>
    <t>BT511</t>
  </si>
  <si>
    <t>BT31</t>
  </si>
  <si>
    <t>BT311</t>
  </si>
  <si>
    <t>BT312</t>
  </si>
  <si>
    <t>BT421</t>
  </si>
  <si>
    <t>BT4211</t>
  </si>
  <si>
    <t>BT4212</t>
  </si>
  <si>
    <t>BT512</t>
  </si>
  <si>
    <t>BT513</t>
  </si>
  <si>
    <t>BT521</t>
  </si>
  <si>
    <t>BT522</t>
  </si>
  <si>
    <t>BT523</t>
  </si>
  <si>
    <t>BT6</t>
  </si>
  <si>
    <t>BT61</t>
  </si>
  <si>
    <t>BT611</t>
  </si>
  <si>
    <t>BT612</t>
  </si>
  <si>
    <t>BT613</t>
  </si>
  <si>
    <t>BT62</t>
  </si>
  <si>
    <t>BT621</t>
  </si>
  <si>
    <t>BT622</t>
  </si>
  <si>
    <t>BT623</t>
  </si>
  <si>
    <t>BT7</t>
  </si>
  <si>
    <t>BT71</t>
  </si>
  <si>
    <t>BT712</t>
  </si>
  <si>
    <t>BT713</t>
  </si>
  <si>
    <t>BT72</t>
  </si>
  <si>
    <t>BT711</t>
  </si>
  <si>
    <t>BT721</t>
  </si>
  <si>
    <t>BT722</t>
  </si>
  <si>
    <t>BT723</t>
  </si>
  <si>
    <t>BT81</t>
  </si>
  <si>
    <t>BT811</t>
  </si>
  <si>
    <t>BT812</t>
  </si>
  <si>
    <t>BT813</t>
  </si>
  <si>
    <t>BT82</t>
  </si>
  <si>
    <t>BT91</t>
  </si>
  <si>
    <t>BT911</t>
  </si>
  <si>
    <t>BT9111</t>
  </si>
  <si>
    <t>BT9112</t>
  </si>
  <si>
    <t>BT9113</t>
  </si>
  <si>
    <t>BT1011</t>
  </si>
  <si>
    <t>BT52</t>
  </si>
  <si>
    <t>BT10111</t>
  </si>
  <si>
    <t>BT10112</t>
  </si>
  <si>
    <t>BT10113</t>
  </si>
  <si>
    <t>BT111</t>
  </si>
  <si>
    <t>BT1112</t>
  </si>
  <si>
    <t>BT11121</t>
  </si>
  <si>
    <t>BT121</t>
  </si>
  <si>
    <t>BT1211</t>
  </si>
  <si>
    <t>BT1212</t>
  </si>
  <si>
    <t>BT12111</t>
  </si>
  <si>
    <t>BT12112</t>
  </si>
  <si>
    <t>BT12121</t>
  </si>
  <si>
    <t>BT12122</t>
  </si>
  <si>
    <t>BT131</t>
  </si>
  <si>
    <t>BT132</t>
  </si>
  <si>
    <t>BT133</t>
  </si>
  <si>
    <t>BT1331</t>
  </si>
  <si>
    <t>BT1332</t>
  </si>
  <si>
    <t>BT1321</t>
  </si>
  <si>
    <t>BT1322</t>
  </si>
  <si>
    <t>BT1323</t>
  </si>
  <si>
    <t>BT1311</t>
  </si>
  <si>
    <t>BT13111</t>
  </si>
  <si>
    <t>BT13112</t>
  </si>
  <si>
    <t>BT13113</t>
  </si>
  <si>
    <t>BT1312</t>
  </si>
  <si>
    <t>BT1313</t>
  </si>
  <si>
    <t>BT1314</t>
  </si>
  <si>
    <t>BT1315</t>
  </si>
  <si>
    <t>BT13121</t>
  </si>
  <si>
    <t>BT13122</t>
  </si>
  <si>
    <t>BT13123</t>
  </si>
  <si>
    <t>BT13131</t>
  </si>
  <si>
    <t>BT13132</t>
  </si>
  <si>
    <t>BT13133</t>
  </si>
  <si>
    <t>BT13141</t>
  </si>
  <si>
    <t>BT13142</t>
  </si>
  <si>
    <t>BT13143</t>
  </si>
  <si>
    <t>BT13151</t>
  </si>
  <si>
    <t>BT13152</t>
  </si>
  <si>
    <t>BT13153</t>
  </si>
  <si>
    <t>Número de viaturas de recolha seletiva e reciclagem na origem dos biorresíduos</t>
  </si>
  <si>
    <t>BT141</t>
  </si>
  <si>
    <t>BT142</t>
  </si>
  <si>
    <t>BT1431</t>
  </si>
  <si>
    <t>BT1432</t>
  </si>
  <si>
    <t>BT143</t>
  </si>
  <si>
    <t>BT1421</t>
  </si>
  <si>
    <t>BT1422</t>
  </si>
  <si>
    <t>BT1411</t>
  </si>
  <si>
    <t>BT1412</t>
  </si>
  <si>
    <t>BT1413</t>
  </si>
  <si>
    <t>BT1414</t>
  </si>
  <si>
    <t>BT1415</t>
  </si>
  <si>
    <t>BT14111</t>
  </si>
  <si>
    <t>BT14112</t>
  </si>
  <si>
    <t>BT14113</t>
  </si>
  <si>
    <t>BT14121</t>
  </si>
  <si>
    <t>BT14122</t>
  </si>
  <si>
    <t>BT14123</t>
  </si>
  <si>
    <t>BT14131</t>
  </si>
  <si>
    <t>BT14132</t>
  </si>
  <si>
    <t>BT14133</t>
  </si>
  <si>
    <t>BT14141</t>
  </si>
  <si>
    <t>BT14142</t>
  </si>
  <si>
    <t>BT14143</t>
  </si>
  <si>
    <t>BT14151</t>
  </si>
  <si>
    <t>BT14152</t>
  </si>
  <si>
    <t>BT14153</t>
  </si>
  <si>
    <t>BA11</t>
  </si>
  <si>
    <t>BA21</t>
  </si>
  <si>
    <t>BA22</t>
  </si>
  <si>
    <t>BA211</t>
  </si>
  <si>
    <t>BA212</t>
  </si>
  <si>
    <t>BA221</t>
  </si>
  <si>
    <t>BA222</t>
  </si>
  <si>
    <t>BA31</t>
  </si>
  <si>
    <t>BA311</t>
  </si>
  <si>
    <t>BA312</t>
  </si>
  <si>
    <t>BA3111</t>
  </si>
  <si>
    <t>BA3112</t>
  </si>
  <si>
    <t>BA3113</t>
  </si>
  <si>
    <t>BA3121</t>
  </si>
  <si>
    <t>BA3122</t>
  </si>
  <si>
    <t>BA3123</t>
  </si>
  <si>
    <t>BA41</t>
  </si>
  <si>
    <t>BA411</t>
  </si>
  <si>
    <t>BA412</t>
  </si>
  <si>
    <t>BA51</t>
  </si>
  <si>
    <t>BA52</t>
  </si>
  <si>
    <t>BA511</t>
  </si>
  <si>
    <t>BA512</t>
  </si>
  <si>
    <t>BA521</t>
  </si>
  <si>
    <t>BA522</t>
  </si>
  <si>
    <t>BD31</t>
  </si>
  <si>
    <t>BD32</t>
  </si>
  <si>
    <t>BD33</t>
  </si>
  <si>
    <t>BD41</t>
  </si>
  <si>
    <t>BD42</t>
  </si>
  <si>
    <t>BD43</t>
  </si>
  <si>
    <t>BD44</t>
  </si>
  <si>
    <t>BD51</t>
  </si>
  <si>
    <t>BD52</t>
  </si>
  <si>
    <t>BD61</t>
  </si>
  <si>
    <t>BC231</t>
  </si>
  <si>
    <t>BC232</t>
  </si>
  <si>
    <t>BC211</t>
  </si>
  <si>
    <t>BC212</t>
  </si>
  <si>
    <t>BC2121</t>
  </si>
  <si>
    <t>BC2122</t>
  </si>
  <si>
    <t>BC2123</t>
  </si>
  <si>
    <t>BC221</t>
  </si>
  <si>
    <t>BC222</t>
  </si>
  <si>
    <t>BC2222</t>
  </si>
  <si>
    <t>BC2223</t>
  </si>
  <si>
    <t>BC2224</t>
  </si>
  <si>
    <t>BC2225</t>
  </si>
  <si>
    <t>BC2226</t>
  </si>
  <si>
    <t>BC2227</t>
  </si>
  <si>
    <t>BC2228</t>
  </si>
  <si>
    <t>BC2229</t>
  </si>
  <si>
    <t>Custo das matérias consumidas</t>
  </si>
  <si>
    <t>BE411</t>
  </si>
  <si>
    <t>BE412</t>
  </si>
  <si>
    <t>BE48</t>
  </si>
  <si>
    <t>BE49</t>
  </si>
  <si>
    <t>BE410</t>
  </si>
  <si>
    <t>BE361</t>
  </si>
  <si>
    <t>BE481</t>
  </si>
  <si>
    <t>BE491</t>
  </si>
  <si>
    <t>FOLHA 1 - APOIO À DECISÃO</t>
  </si>
  <si>
    <t>FOLHA 2 - FLUXO DE CAIXA</t>
  </si>
  <si>
    <t>FOLHA 3 - INPUT ECONÓMICO-FINANCEIRO</t>
  </si>
  <si>
    <t>FOLHA 4 - INPUT TÉCNICO</t>
  </si>
  <si>
    <t>FOLHA 5 - AUXILIAR</t>
  </si>
  <si>
    <t>Saldo de exploração</t>
  </si>
  <si>
    <t>Total dos gastos</t>
  </si>
  <si>
    <t>Total do investimento em ativos não correntes</t>
  </si>
  <si>
    <t>Quantidade biorresíduos recolhida seletivamente</t>
  </si>
  <si>
    <t>Selecione o valor de capitação média anual de resíduos alimentares</t>
  </si>
  <si>
    <t xml:space="preserve">Rentabilização do parque de contentores de recolha seletiva de biorresíduos </t>
  </si>
  <si>
    <t>BC11</t>
  </si>
  <si>
    <t>BC12</t>
  </si>
  <si>
    <t>BC13</t>
  </si>
  <si>
    <t>BC131</t>
  </si>
  <si>
    <t>BC1311</t>
  </si>
  <si>
    <t>BC13111</t>
  </si>
  <si>
    <t>BC13112</t>
  </si>
  <si>
    <t>BC13113</t>
  </si>
  <si>
    <t>BC1312</t>
  </si>
  <si>
    <t>BC13121</t>
  </si>
  <si>
    <t>BC22210</t>
  </si>
  <si>
    <t>BC22211</t>
  </si>
  <si>
    <t>BC22212</t>
  </si>
  <si>
    <t>BT1111</t>
  </si>
  <si>
    <t>BT11111</t>
  </si>
  <si>
    <t>BT11112</t>
  </si>
  <si>
    <t>Indicadores/Variáveis</t>
  </si>
  <si>
    <t>Capacidade total de viaturas da recolha seletiva e reciclagem na origem dos biorresíduos</t>
  </si>
  <si>
    <t>kg/m³</t>
  </si>
  <si>
    <t>População residente (2011)</t>
  </si>
  <si>
    <t>População servida com recolha seletiva e reciclagem na origem dos biorresíduos (exercício relativo a 2011)</t>
  </si>
  <si>
    <t>Resíduos verdes (2011)</t>
  </si>
  <si>
    <t>Resíduos alimentares (2011)</t>
  </si>
  <si>
    <t>Setor HORECA</t>
  </si>
  <si>
    <t>Selecione o valor de capitação média anual de resíduos alimentares (t/(estabelecimento.ano))</t>
  </si>
  <si>
    <t>Contentor - Tipo F</t>
  </si>
  <si>
    <t>Contentor - Tipo G</t>
  </si>
  <si>
    <t>Contentor - Tipo H</t>
  </si>
  <si>
    <t>Contentor - Tipo I</t>
  </si>
  <si>
    <t>Contentor - Tipo J</t>
  </si>
  <si>
    <t>Viatura - Tipo F</t>
  </si>
  <si>
    <t>Viatura - Tipo G</t>
  </si>
  <si>
    <t>Potencial de biorresíduos</t>
  </si>
  <si>
    <t>Resíduos alimentares domésticos nos resíduos indiferenciados</t>
  </si>
  <si>
    <t>Resíduos alimentares domésticos recolhidos seletivamente</t>
  </si>
  <si>
    <t>Resíduos verdes domésticos</t>
  </si>
  <si>
    <t>Resíduos verdes domésticos nos resíduos indiferenciados</t>
  </si>
  <si>
    <t>Resíduos verdes domésticos recolhidos seletivamente</t>
  </si>
  <si>
    <t>Resíduos verdes não domésticos</t>
  </si>
  <si>
    <t>BT411</t>
  </si>
  <si>
    <t>Resíduos verdes não domésticos recolhidos seletivamente</t>
  </si>
  <si>
    <t>Resíduos alimentares do setor HORECA recolhidos seletivamente</t>
  </si>
  <si>
    <t>Resíduos alimentares do setor HORECA nos indiferenciados</t>
  </si>
  <si>
    <t>Outros setores</t>
  </si>
  <si>
    <t>Resíduos alimentares de outros setores nos indiferenciados</t>
  </si>
  <si>
    <t>Resíduos alimentares de outros setores recolhidos seletivamente</t>
  </si>
  <si>
    <t>Emissão de gases com efeito de estufa</t>
  </si>
  <si>
    <r>
      <t>kg CO</t>
    </r>
    <r>
      <rPr>
        <sz val="11"/>
        <color theme="1"/>
        <rFont val="Calibri"/>
        <family val="2"/>
      </rPr>
      <t>₂</t>
    </r>
    <r>
      <rPr>
        <sz val="11"/>
        <color theme="1"/>
        <rFont val="Calibri"/>
        <family val="2"/>
        <scheme val="minor"/>
      </rPr>
      <t>/t</t>
    </r>
  </si>
  <si>
    <t>BT1416</t>
  </si>
  <si>
    <t>BT1417</t>
  </si>
  <si>
    <t>BT1418</t>
  </si>
  <si>
    <t>BT14181</t>
  </si>
  <si>
    <t>BT14182</t>
  </si>
  <si>
    <t>BT14183</t>
  </si>
  <si>
    <t>BT14171</t>
  </si>
  <si>
    <t>BT14172</t>
  </si>
  <si>
    <t>BT14173</t>
  </si>
  <si>
    <t>BT14161</t>
  </si>
  <si>
    <t>BT14162</t>
  </si>
  <si>
    <t>BT14163</t>
  </si>
  <si>
    <t>BT1316</t>
  </si>
  <si>
    <t>BT1317</t>
  </si>
  <si>
    <t>BT1318</t>
  </si>
  <si>
    <t>BT1319</t>
  </si>
  <si>
    <t>BT13110</t>
  </si>
  <si>
    <t>BT13161</t>
  </si>
  <si>
    <t>BT13162</t>
  </si>
  <si>
    <t>BT13163</t>
  </si>
  <si>
    <t>BT13171</t>
  </si>
  <si>
    <t>BT13172</t>
  </si>
  <si>
    <t>BT13173</t>
  </si>
  <si>
    <t>BT13181</t>
  </si>
  <si>
    <t>BT13182</t>
  </si>
  <si>
    <t>BT13183</t>
  </si>
  <si>
    <t>BT13191</t>
  </si>
  <si>
    <t>BT13192</t>
  </si>
  <si>
    <t>BT13193</t>
  </si>
  <si>
    <t>BT131101</t>
  </si>
  <si>
    <t>BT131102</t>
  </si>
  <si>
    <t>BT131103</t>
  </si>
  <si>
    <t>Viatura - Tipo H</t>
  </si>
  <si>
    <t>Equipamento - Tipo E</t>
  </si>
  <si>
    <t>Equipamento - Tipo F</t>
  </si>
  <si>
    <t>Viatura leasing - Tipo A</t>
  </si>
  <si>
    <t>Viatura leasing - Tipo B</t>
  </si>
  <si>
    <t>Viatura leasing - Tipo C</t>
  </si>
  <si>
    <t>Viatura leasing - Tipo D</t>
  </si>
  <si>
    <t>Viatura leasing - Tipo E</t>
  </si>
  <si>
    <t>Viatura leasing - Tipo F</t>
  </si>
  <si>
    <t>Viatura leasing - Tipo G</t>
  </si>
  <si>
    <t>Viatura leasing - Tipo H</t>
  </si>
  <si>
    <t>Viatura (lavagem) - Tipo I</t>
  </si>
  <si>
    <t>Viatura (lavagem) - Tipo J</t>
  </si>
  <si>
    <t>Viatura (lavagem) - Tipo K</t>
  </si>
  <si>
    <t>Viatura (lavagem) leasing - Tipo I</t>
  </si>
  <si>
    <t>Viatura (lavagem) leasing - Tipo J</t>
  </si>
  <si>
    <t>Viatura (lavagem) leasing - Tipo K</t>
  </si>
  <si>
    <t>Selecione o tipo de combustível</t>
  </si>
  <si>
    <t>Gasóleo</t>
  </si>
  <si>
    <t>Gás natural</t>
  </si>
  <si>
    <t>Gasolina</t>
  </si>
  <si>
    <t>Pessoal - Tipo D</t>
  </si>
  <si>
    <t>Pessoal - Tipo E</t>
  </si>
  <si>
    <t>Pessoal - Tipo F</t>
  </si>
  <si>
    <t>TEP</t>
  </si>
  <si>
    <t>PCI (GJ/t)</t>
  </si>
  <si>
    <t>1 l de gasolina</t>
  </si>
  <si>
    <t>1 l de gasóleo</t>
  </si>
  <si>
    <r>
      <t>1 m</t>
    </r>
    <r>
      <rPr>
        <vertAlign val="superscript"/>
        <sz val="10"/>
        <color indexed="63"/>
        <rFont val="Calibri"/>
        <family val="2"/>
      </rPr>
      <t>3</t>
    </r>
    <r>
      <rPr>
        <sz val="10"/>
        <color indexed="63"/>
        <rFont val="Calibri"/>
        <family val="2"/>
      </rPr>
      <t xml:space="preserve"> gás natural</t>
    </r>
  </si>
  <si>
    <t>Combustível</t>
  </si>
  <si>
    <t xml:space="preserve">FE (kg CO2/GJ) </t>
  </si>
  <si>
    <t>FOC</t>
  </si>
  <si>
    <t>Preencha os campos em branco com o número de habitantes residentes no município em 2011, relativos ao número de alojamentos do município</t>
  </si>
  <si>
    <t>Preencha os campos em branco com o número de habitantes residentes no município em 2011, relativos ao número de alojamentos do município que vão estar abrangidos por recolha seletiva ou reciclagem na origem dos resíduos alimentares, em cada ano</t>
  </si>
  <si>
    <t>Preencha os campos em branco com o número de habitantes residentes no município em 2011, relativos ao número de alojamentos do município que vão estar abrangidos por recolha seletiva ou reciclagem na origem dos resíduos verdes, em cada ano</t>
  </si>
  <si>
    <t>BT111111</t>
  </si>
  <si>
    <t>BT111112</t>
  </si>
  <si>
    <t>BT111113</t>
  </si>
  <si>
    <t>BT111121</t>
  </si>
  <si>
    <t>BT111122</t>
  </si>
  <si>
    <t>BT111123</t>
  </si>
  <si>
    <t>BT121111</t>
  </si>
  <si>
    <t>BT121112</t>
  </si>
  <si>
    <t>BT121113</t>
  </si>
  <si>
    <t>BT121121</t>
  </si>
  <si>
    <t>BT121122</t>
  </si>
  <si>
    <t>BT121123</t>
  </si>
  <si>
    <t>BT121211</t>
  </si>
  <si>
    <t>BT121212</t>
  </si>
  <si>
    <t>BT121213</t>
  </si>
  <si>
    <t>BT121221</t>
  </si>
  <si>
    <t>BA4111</t>
  </si>
  <si>
    <t>BA4112</t>
  </si>
  <si>
    <t>BA4121</t>
  </si>
  <si>
    <t>BA4122</t>
  </si>
  <si>
    <t>BA41111</t>
  </si>
  <si>
    <t>BA41112</t>
  </si>
  <si>
    <t>BA41113</t>
  </si>
  <si>
    <t>BA41121</t>
  </si>
  <si>
    <t>BA41122</t>
  </si>
  <si>
    <t>BA41123</t>
  </si>
  <si>
    <t>BA41211</t>
  </si>
  <si>
    <t>BA41212</t>
  </si>
  <si>
    <t>BA41213</t>
  </si>
  <si>
    <t>BA41221</t>
  </si>
  <si>
    <t>Preencha os campos em branco com as taxas de captura previstas</t>
  </si>
  <si>
    <t>Preencha os campos em branco com as taxas de aumento previstas de recolha seletiva de resíduos verdes não domésticos, relativamente ao ano anterior</t>
  </si>
  <si>
    <t>Selecione a taxa de aumento anual de captura</t>
  </si>
  <si>
    <t>BT111211</t>
  </si>
  <si>
    <t>BT111212</t>
  </si>
  <si>
    <t>BT111213</t>
  </si>
  <si>
    <t>Gastos com serviços</t>
  </si>
  <si>
    <t>Fci</t>
  </si>
  <si>
    <t>Seguros, IUC e inspeção</t>
  </si>
  <si>
    <t>BE1</t>
  </si>
  <si>
    <t>Preencha os campos em branco com o número médio de descargas semanais de um contentor de recolha de biorresíduos em via pública</t>
  </si>
  <si>
    <t>Preencha os campos em branco com o número médio de descargas semanais de um contentor de recolha de biorresíduos porta-a-porta</t>
  </si>
  <si>
    <t>Preencha os campos em branco com o número médio de descargas semanais de uma viatura de recolha de biorresíduos em via pública</t>
  </si>
  <si>
    <t>Preencha os campos em branco com o número médio de descargas semanais de uma viatura de recolha de biorresíduos porta-a-porta</t>
  </si>
  <si>
    <t>BT912</t>
  </si>
  <si>
    <t>BT921</t>
  </si>
  <si>
    <t>BT922</t>
  </si>
  <si>
    <t>BT923</t>
  </si>
  <si>
    <t>BT1012</t>
  </si>
  <si>
    <t>BT10121</t>
  </si>
  <si>
    <t>BT10122</t>
  </si>
  <si>
    <t>BT10123</t>
  </si>
  <si>
    <t>Resíduos urbanos</t>
  </si>
  <si>
    <t>Resíduos urbanos recolhidos</t>
  </si>
  <si>
    <t>Resíduos indiferenciados</t>
  </si>
  <si>
    <t>BT43</t>
  </si>
  <si>
    <t>BD21</t>
  </si>
  <si>
    <t>BD46</t>
  </si>
  <si>
    <t>Quantidade Crítica</t>
  </si>
  <si>
    <t>Cenário Moderado</t>
  </si>
  <si>
    <t>Cenário Ótimista</t>
  </si>
  <si>
    <t>Preencha BA41221 na Folha 5 - "Auxiliar"</t>
  </si>
  <si>
    <t>Contribuição dos biorresíduos recolhidos seletivamente para a taxa de preparação para reutilização e reciclagem</t>
  </si>
  <si>
    <t>BE421</t>
  </si>
  <si>
    <t>BE441</t>
  </si>
  <si>
    <t>BE482</t>
  </si>
  <si>
    <t>BE483</t>
  </si>
  <si>
    <t>BE484</t>
  </si>
  <si>
    <t>BE4101</t>
  </si>
  <si>
    <t>BE4102</t>
  </si>
  <si>
    <t>€/t</t>
  </si>
  <si>
    <t>BC21211</t>
  </si>
  <si>
    <r>
      <t>Investimento (</t>
    </r>
    <r>
      <rPr>
        <i/>
        <sz val="11"/>
        <color theme="1"/>
        <rFont val="Calibri"/>
        <family val="2"/>
        <scheme val="minor"/>
      </rPr>
      <t>valor acumulado descontado</t>
    </r>
    <r>
      <rPr>
        <sz val="11"/>
        <color theme="1"/>
        <rFont val="Calibri"/>
        <family val="2"/>
        <scheme val="minor"/>
      </rPr>
      <t>)</t>
    </r>
  </si>
  <si>
    <r>
      <t>TRC - Tempo de Recuperação do Capital investido (</t>
    </r>
    <r>
      <rPr>
        <i/>
        <sz val="11"/>
        <color theme="1"/>
        <rFont val="Calibri"/>
        <family val="2"/>
        <scheme val="minor"/>
      </rPr>
      <t>2021 até data de referência</t>
    </r>
    <r>
      <rPr>
        <sz val="11"/>
        <color theme="1"/>
        <rFont val="Calibri"/>
        <family val="2"/>
        <scheme val="minor"/>
      </rPr>
      <t>)</t>
    </r>
  </si>
  <si>
    <r>
      <t>Gastos operacionais (</t>
    </r>
    <r>
      <rPr>
        <i/>
        <sz val="11"/>
        <color theme="1"/>
        <rFont val="Calibri"/>
        <family val="2"/>
        <scheme val="minor"/>
      </rPr>
      <t>média/ano, desde 2021 até data de referência</t>
    </r>
    <r>
      <rPr>
        <sz val="11"/>
        <color theme="1"/>
        <rFont val="Calibri"/>
        <family val="2"/>
        <scheme val="minor"/>
      </rPr>
      <t>)</t>
    </r>
  </si>
  <si>
    <r>
      <t>Depreciações e amortizações (</t>
    </r>
    <r>
      <rPr>
        <i/>
        <sz val="11"/>
        <color theme="1"/>
        <rFont val="Calibri"/>
        <family val="2"/>
        <scheme val="minor"/>
      </rPr>
      <t>média/ano, desde 2021 até data de referência</t>
    </r>
    <r>
      <rPr>
        <sz val="11"/>
        <color theme="1"/>
        <rFont val="Calibri"/>
        <family val="2"/>
        <scheme val="minor"/>
      </rPr>
      <t>)</t>
    </r>
  </si>
  <si>
    <r>
      <t>Benefício/Custo (</t>
    </r>
    <r>
      <rPr>
        <i/>
        <sz val="11"/>
        <color theme="1"/>
        <rFont val="Calibri"/>
        <family val="2"/>
        <scheme val="minor"/>
      </rPr>
      <t>rácio da média/ano com valores desde 2021 até data de referência</t>
    </r>
    <r>
      <rPr>
        <sz val="11"/>
        <color theme="1"/>
        <rFont val="Calibri"/>
        <family val="2"/>
        <scheme val="minor"/>
      </rPr>
      <t>)</t>
    </r>
  </si>
  <si>
    <r>
      <t>VAL - Valor Atualizado Líquido (</t>
    </r>
    <r>
      <rPr>
        <i/>
        <sz val="11"/>
        <color theme="1"/>
        <rFont val="Calibri"/>
        <family val="2"/>
        <scheme val="minor"/>
      </rPr>
      <t>2021 até data de referência</t>
    </r>
    <r>
      <rPr>
        <sz val="11"/>
        <color theme="1"/>
        <rFont val="Calibri"/>
        <family val="2"/>
        <scheme val="minor"/>
      </rPr>
      <t>)</t>
    </r>
  </si>
  <si>
    <r>
      <t>IR - Índice de Rendibilidade (</t>
    </r>
    <r>
      <rPr>
        <i/>
        <sz val="11"/>
        <color theme="1"/>
        <rFont val="Calibri"/>
        <family val="2"/>
        <scheme val="minor"/>
      </rPr>
      <t>VAL/Investimento</t>
    </r>
    <r>
      <rPr>
        <sz val="11"/>
        <color theme="1"/>
        <rFont val="Calibri"/>
        <family val="2"/>
        <scheme val="minor"/>
      </rPr>
      <t>)</t>
    </r>
  </si>
  <si>
    <r>
      <t>AE - Anuidade Equivalente (</t>
    </r>
    <r>
      <rPr>
        <i/>
        <sz val="11"/>
        <color theme="1"/>
        <rFont val="Calibri"/>
        <family val="2"/>
        <scheme val="minor"/>
      </rPr>
      <t>valor anual equivalente ao VAL</t>
    </r>
    <r>
      <rPr>
        <sz val="11"/>
        <color theme="1"/>
        <rFont val="Calibri"/>
        <family val="2"/>
        <scheme val="minor"/>
      </rPr>
      <t>)</t>
    </r>
  </si>
  <si>
    <t>BT431</t>
  </si>
  <si>
    <t>BT4311</t>
  </si>
  <si>
    <t>BT43111</t>
  </si>
  <si>
    <t>BT43112</t>
  </si>
  <si>
    <t>BT4312</t>
  </si>
  <si>
    <t>BT431212</t>
  </si>
  <si>
    <t>BT431211</t>
  </si>
  <si>
    <t>BT43122</t>
  </si>
  <si>
    <t>BT431221</t>
  </si>
  <si>
    <t>BT431222</t>
  </si>
  <si>
    <t>BT432</t>
  </si>
  <si>
    <t>BT4321</t>
  </si>
  <si>
    <t>BT43211</t>
  </si>
  <si>
    <t>BT43212</t>
  </si>
  <si>
    <t>BT4322</t>
  </si>
  <si>
    <t>BT43221</t>
  </si>
  <si>
    <t>Preencha BA511 na Folha 5 - "Auxiliar"</t>
  </si>
  <si>
    <t>Preencha BA512 na Folha 5 - "Auxiliar"</t>
  </si>
  <si>
    <t>Preencha BA521 na Folha 5 - "Auxiliar"</t>
  </si>
  <si>
    <t>Preencha BA522 na Folha 5 - "Auxiliar"</t>
  </si>
  <si>
    <t>BT821</t>
  </si>
  <si>
    <t>BT822</t>
  </si>
  <si>
    <t>BT823</t>
  </si>
  <si>
    <t>Resíduos indiferenciados recolhidos</t>
  </si>
  <si>
    <t xml:space="preserve">Custo unitário/ PB (Cu) </t>
  </si>
  <si>
    <t>Fator de correção (f)</t>
  </si>
  <si>
    <t>[180 - 559]</t>
  </si>
  <si>
    <t>[560 - 999]</t>
  </si>
  <si>
    <t>[1000 - 1499]</t>
  </si>
  <si>
    <t>[1500 - 1999]</t>
  </si>
  <si>
    <t>[2000 - 3999]</t>
  </si>
  <si>
    <t>[4000 - 7999]</t>
  </si>
  <si>
    <t>[8000 - 11999]</t>
  </si>
  <si>
    <t>[12000 - 16999]</t>
  </si>
  <si>
    <t>[17000 - 24999]</t>
  </si>
  <si>
    <t>[25000 - 33999]</t>
  </si>
  <si>
    <t>[34000 - 49999]</t>
  </si>
  <si>
    <t>[50000 - 67999]</t>
  </si>
  <si>
    <t>[68000 - 119999]</t>
  </si>
  <si>
    <t>[120000 - 208000]</t>
  </si>
  <si>
    <t xml:space="preserve">Intervalo de número de PB (n0)     </t>
  </si>
  <si>
    <t>Min</t>
  </si>
  <si>
    <t>Max</t>
  </si>
  <si>
    <t>Apresentação</t>
  </si>
  <si>
    <t>Instruções para o preenchimento</t>
  </si>
  <si>
    <t>Células</t>
  </si>
  <si>
    <t>Ordem de preenchimento</t>
  </si>
  <si>
    <t>Criação de cenários</t>
  </si>
  <si>
    <t>Valor proposto pelo município (preencher as células em branco)</t>
  </si>
  <si>
    <t>Selecione o método de contabilização dos gastos em campanhas de sensibilização</t>
  </si>
  <si>
    <t>Valor de referência</t>
  </si>
  <si>
    <t>Valor de referência - Cenário moderado</t>
  </si>
  <si>
    <t>Valor de referência - Cenário otimista</t>
  </si>
  <si>
    <t>As células em branco são células de preenchimento.</t>
  </si>
  <si>
    <t>As células a cinzento são valores calculados automaticamente tendo em consideração os valores das células em branco.</t>
  </si>
  <si>
    <t>-</t>
  </si>
  <si>
    <t>Para a criação de cenários o município deve ter em consideração:</t>
  </si>
  <si>
    <t>c) deve criar um Ficheiro-Síntese com os resultados dos vários cenários (consiste na cópia da folha de Apoio à Decisão obtida para cada cenário);</t>
  </si>
  <si>
    <t>BE23</t>
  </si>
  <si>
    <t>Tarifa aprovada (evitada)</t>
  </si>
  <si>
    <t>TGR (evitada)</t>
  </si>
  <si>
    <t>Percentagem de resíduos indiferenciados encaminhados para aterro</t>
  </si>
  <si>
    <t>Gastos com tarifa em alta</t>
  </si>
  <si>
    <t>Rendimentos tarifários líquidos</t>
  </si>
  <si>
    <t>Tarifa aprovada (relativa aos biorresíduos)</t>
  </si>
  <si>
    <t>Selecione o método de contabilização do número de habitantes abrangidos por recolha seletiva de biorresíduos e reciclagem na origem de resíduos alimentares e resíduos verdes</t>
  </si>
  <si>
    <t>Método 1</t>
  </si>
  <si>
    <t>Método 2</t>
  </si>
  <si>
    <t>Número médio de habitantes por alojamento</t>
  </si>
  <si>
    <t>BC2221</t>
  </si>
  <si>
    <t>Fluxo total (investimento+exploração)</t>
  </si>
  <si>
    <t>Valor de referência (valor obtido automaticamente nas células a cinzento)</t>
  </si>
  <si>
    <t>As células a amarelo permitem o município selecionar opções, na coluna "Seleção", para determinadas variáveis ou indicam a necessidade de preenchimento da Folha 5 – “Auxiliar”.</t>
  </si>
  <si>
    <t>Algumas células da coluna "Indicadores/variáveis" apresentam um triangulo vermelho no canto superior direito que ao serem selecionadas apresentam notas orientadoras</t>
  </si>
  <si>
    <t>BT4</t>
  </si>
  <si>
    <t>[Indique o nome do município]</t>
  </si>
  <si>
    <t>BT43121</t>
  </si>
  <si>
    <t>Ficha ténica</t>
  </si>
  <si>
    <t>Equipa técnica</t>
  </si>
  <si>
    <t>O presente ficheiro em Excel, “Simulador de sistemas de recolha de biorresíduos”, também denominado por “Simulador”, tem como objetivo apoiar os municípios na construção e comparação de cenários de sistemas de desvio dos biorresíduos de aterro e de valorização energética seja por separação e reciclagem na origem que através da recolha seletiva de biorresíduos nas vertentes técnica, económica e ambiental.</t>
  </si>
  <si>
    <t xml:space="preserve">a) sempre que pretenda criar um cenário deve correr o "Simulador" e o resultado é apresentado de forma resumida na Folha 1 - Apoio à Decisão; </t>
  </si>
  <si>
    <t>b) deve gravar um ficheiro excel para cada cenário;</t>
  </si>
  <si>
    <t>O preenchimento do “Simulador” deve ser iniciado pela Folha 4 – “Input Técnico” em coordenação com a Folha 5 – “Auxiliar”. Posteriormente o município deve proceder ao preenchimento da Folha 3 – “Input Económico-financeiro” e da Folha 1 – “Apoio à Decisão”. A Folha 2 - Fluxo de Caixa não requer preenchimento, pois baseia-se na informação contida nas folhas anteriormente preenchidas.</t>
  </si>
  <si>
    <t>O "Simulador" é composto por três tipos de células distinguidas pela sua cor:</t>
  </si>
  <si>
    <t>Todos os direitos reservados ©2021 Fundo Ambiental.  
Os conteúdos deste trabalho refletem exclusivamente os conhecimentos dos seus autores à data da sua publicação.  Alterações ao conteúdo não são permitidos. A cópia e disseminação deste material sem autorização do Fundo Ambiental não é permitida. Os autores ou o Fundo Ambiental não oferecem garantias de qualquer tipo, expressas ou implícitas, quanto a qualquer assunto, incluindo, mas não se limitando a, garantia de adequação para um determinado fim, ou comercialização, exclusividade ou resultados obtidos com o uso das obras “Guia para o planeamento de sistemas de recolha de biorresíduos” e “Simulador de sistemas de recolha de biorresíduos”. Os autores ou o Fundo Ambiental não são responsáveis por quaisquer danos indiretos, especiais ou consequenciais, como perda de lucros ou incapacidade de utilização por utilizadores das obras já referidas.</t>
  </si>
  <si>
    <t>De seguida são apresentadas a instruções para o preenchimento do "Simulador". Para mais detalhe sobre a metodologia, descrição e fórmulas de cálculo dos indicadores e variáveis e definições de termos utilizados no “Simulador”, deve consultador o documento de apoio "Guia para o planeamento de sistemas de recolha de biorresíduos".</t>
  </si>
  <si>
    <t>Professora Doutora Ana Silveira, Professor Doutor Joaquim Pina, Mestre João Brito Ana</t>
  </si>
  <si>
    <t>SIMULADOR DE SISTEMAS DE RECOLHA DE BIORRESÍDUOS - VERSÃO 1.3</t>
  </si>
  <si>
    <t>Versão de 23-06-2021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</si>
</sst>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0\ &quot;€&quot;;\-#,##0\ &quot;€&quot;"/>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000%"/>
    <numFmt numFmtId="167" formatCode="_-* #,##0\ &quot;€&quot;_-;\-* #,##0\ &quot;€&quot;_-;_-* &quot;-&quot;??\ &quot;€&quot;_-;_-@_-"/>
    <numFmt numFmtId="168" formatCode="_-* #,##0\ _€_-;\-* #,##0\ _€_-;_-* &quot;-&quot;??\ _€_-;_-@_-"/>
    <numFmt numFmtId="169" formatCode="#,##0.000"/>
    <numFmt numFmtId="170" formatCode="#,##0.0000"/>
    <numFmt numFmtId="171" formatCode="#,##0.000000"/>
    <numFmt numFmtId="172" formatCode="0.0"/>
    <numFmt numFmtId="173" formatCode="#,##0\ &quot;€&quot;"/>
    <numFmt numFmtId="174" formatCode="0.0000000"/>
    <numFmt numFmtId="175" formatCode="0.00000000"/>
    <numFmt numFmtId="176" formatCode="0.00000000000"/>
  </numFmts>
  <fonts count="48"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1"/>
      <color rgb="FFFA7D00"/>
      <name val="Calibri"/>
      <family val="2"/>
      <scheme val="minor"/>
    </font>
    <font>
      <b/>
      <sz val="12"/>
      <color theme="1"/>
      <name val="Calibri"/>
      <family val="2"/>
      <scheme val="minor"/>
    </font>
    <font>
      <sz val="12"/>
      <color theme="1"/>
      <name val="Calibri"/>
      <family val="2"/>
      <scheme val="minor"/>
    </font>
    <font>
      <i/>
      <sz val="11"/>
      <color rgb="FF7F7F7F"/>
      <name val="Calibri"/>
      <family val="2"/>
      <scheme val="minor"/>
    </font>
    <font>
      <sz val="8"/>
      <name val="Calibri"/>
      <family val="2"/>
    </font>
    <font>
      <sz val="11"/>
      <name val="Calibri"/>
      <family val="2"/>
      <scheme val="minor"/>
    </font>
    <font>
      <b/>
      <sz val="11"/>
      <color theme="1"/>
      <name val="Calibri"/>
      <family val="2"/>
      <scheme val="minor"/>
    </font>
    <font>
      <b/>
      <sz val="14"/>
      <color theme="1"/>
      <name val="Calibri"/>
      <family val="2"/>
      <scheme val="minor"/>
    </font>
    <font>
      <b/>
      <sz val="14"/>
      <color theme="1"/>
      <name val="Calibri"/>
      <family val="2"/>
    </font>
    <font>
      <sz val="11"/>
      <color rgb="FF000000"/>
      <name val="Calibri"/>
      <family val="2"/>
      <scheme val="minor"/>
    </font>
    <font>
      <b/>
      <sz val="11"/>
      <color rgb="FF000000"/>
      <name val="Calibri"/>
      <family val="2"/>
      <scheme val="minor"/>
    </font>
    <font>
      <sz val="12"/>
      <color rgb="FF000000"/>
      <name val="Calibri"/>
      <family val="2"/>
      <scheme val="minor"/>
    </font>
    <font>
      <i/>
      <sz val="11"/>
      <color rgb="FF000000"/>
      <name val="Calibri"/>
      <family val="2"/>
      <scheme val="minor"/>
    </font>
    <font>
      <b/>
      <sz val="14"/>
      <color theme="1"/>
      <name val="Arial"/>
      <family val="2"/>
    </font>
    <font>
      <vertAlign val="superscript"/>
      <sz val="10"/>
      <color indexed="63"/>
      <name val="Calibri"/>
      <family val="2"/>
    </font>
    <font>
      <sz val="10"/>
      <color indexed="63"/>
      <name val="Calibri"/>
      <family val="2"/>
    </font>
    <font>
      <i/>
      <sz val="11"/>
      <color theme="1"/>
      <name val="Calibri"/>
      <family val="2"/>
      <scheme val="minor"/>
    </font>
    <font>
      <u/>
      <sz val="11"/>
      <color theme="10"/>
      <name val="Calibri"/>
      <family val="2"/>
    </font>
    <font>
      <sz val="11"/>
      <name val="Calibri"/>
      <family val="2"/>
    </font>
    <font>
      <sz val="9"/>
      <color indexed="81"/>
      <name val="Tahoma"/>
      <family val="2"/>
    </font>
  </fonts>
  <fills count="15">
    <fill>
      <patternFill patternType="none"/>
    </fill>
    <fill>
      <patternFill patternType="gray125"/>
    </fill>
    <fill>
      <patternFill patternType="solid">
        <fgColor theme="5"/>
        <bgColor indexed="64"/>
      </patternFill>
    </fill>
    <fill>
      <patternFill patternType="solid">
        <fgColor rgb="FFF2F2F2"/>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rgb="FF76ABDC"/>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bgColor indexed="64"/>
      </patternFill>
    </fill>
    <fill>
      <patternFill patternType="solid">
        <fgColor theme="6" tint="0.59999389629810485"/>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9" fontId="26" fillId="0" borderId="0" applyFont="0" applyFill="0" applyBorder="0" applyAlignment="0" applyProtection="0"/>
    <xf numFmtId="0" fontId="28" fillId="3" borderId="6" applyNumberFormat="0" applyAlignment="0" applyProtection="0"/>
    <xf numFmtId="0" fontId="25" fillId="0" borderId="0"/>
    <xf numFmtId="44" fontId="25" fillId="0" borderId="0" applyFont="0" applyFill="0" applyBorder="0" applyAlignment="0" applyProtection="0"/>
    <xf numFmtId="164" fontId="25" fillId="0" borderId="0" applyFont="0" applyFill="0" applyBorder="0" applyAlignment="0" applyProtection="0"/>
    <xf numFmtId="9" fontId="25" fillId="0" borderId="0" applyFont="0" applyFill="0" applyBorder="0" applyAlignment="0" applyProtection="0"/>
    <xf numFmtId="44" fontId="26" fillId="0" borderId="0" applyFont="0" applyFill="0" applyBorder="0" applyAlignment="0" applyProtection="0"/>
    <xf numFmtId="0" fontId="31" fillId="0" borderId="0" applyNumberFormat="0" applyFill="0" applyBorder="0" applyAlignment="0" applyProtection="0"/>
    <xf numFmtId="0" fontId="45" fillId="0" borderId="0" applyNumberFormat="0" applyFill="0" applyBorder="0" applyAlignment="0" applyProtection="0"/>
  </cellStyleXfs>
  <cellXfs count="388">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3" fontId="0" fillId="6" borderId="1" xfId="0" applyNumberFormat="1" applyFill="1" applyBorder="1" applyAlignment="1">
      <alignment horizontal="center" vertical="center"/>
    </xf>
    <xf numFmtId="165" fontId="0" fillId="6" borderId="1" xfId="1" applyNumberFormat="1" applyFont="1" applyFill="1" applyBorder="1" applyAlignment="1">
      <alignment horizontal="center" vertical="center"/>
    </xf>
    <xf numFmtId="0" fontId="0" fillId="0" borderId="1" xfId="0" applyBorder="1" applyAlignment="1">
      <alignment horizontal="left" indent="2"/>
    </xf>
    <xf numFmtId="1" fontId="0" fillId="0" borderId="1" xfId="0" applyNumberFormat="1" applyBorder="1"/>
    <xf numFmtId="0" fontId="0" fillId="0" borderId="1" xfId="0" applyBorder="1" applyAlignment="1">
      <alignment horizontal="left" vertical="center" indent="2"/>
    </xf>
    <xf numFmtId="0" fontId="0" fillId="0" borderId="1" xfId="0" applyBorder="1" applyAlignment="1">
      <alignment horizontal="left" indent="1"/>
    </xf>
    <xf numFmtId="166" fontId="0" fillId="0" borderId="1" xfId="1" applyNumberFormat="1" applyFont="1" applyBorder="1"/>
    <xf numFmtId="0" fontId="0" fillId="0" borderId="1" xfId="0" applyBorder="1" applyAlignment="1">
      <alignment horizontal="left" indent="3"/>
    </xf>
    <xf numFmtId="0" fontId="0" fillId="0" borderId="1" xfId="0" applyBorder="1" applyAlignment="1">
      <alignment horizontal="left" vertical="center" indent="3"/>
    </xf>
    <xf numFmtId="9" fontId="0" fillId="0" borderId="1" xfId="1" applyFont="1" applyBorder="1" applyAlignment="1">
      <alignment horizontal="center" vertical="center"/>
    </xf>
    <xf numFmtId="0" fontId="0" fillId="0" borderId="1" xfId="0" applyBorder="1" applyAlignment="1">
      <alignment horizontal="left"/>
    </xf>
    <xf numFmtId="0" fontId="0" fillId="2" borderId="1" xfId="0" applyFill="1" applyBorder="1" applyAlignment="1"/>
    <xf numFmtId="0" fontId="0" fillId="0" borderId="1" xfId="0" applyFill="1" applyBorder="1" applyAlignment="1">
      <alignment horizontal="left"/>
    </xf>
    <xf numFmtId="0" fontId="0" fillId="2" borderId="2" xfId="0" applyFill="1" applyBorder="1" applyAlignment="1"/>
    <xf numFmtId="0" fontId="0" fillId="0" borderId="1" xfId="0" applyFill="1" applyBorder="1" applyAlignment="1">
      <alignment horizontal="center" vertical="center"/>
    </xf>
    <xf numFmtId="0" fontId="34" fillId="8" borderId="1" xfId="3" applyFont="1" applyFill="1" applyBorder="1"/>
    <xf numFmtId="0" fontId="34" fillId="8" borderId="1" xfId="3" applyFont="1" applyFill="1" applyBorder="1" applyAlignment="1">
      <alignment vertical="center"/>
    </xf>
    <xf numFmtId="0" fontId="37" fillId="9" borderId="1" xfId="3" applyFont="1" applyFill="1" applyBorder="1" applyAlignment="1">
      <alignment vertical="center"/>
    </xf>
    <xf numFmtId="0" fontId="37" fillId="9" borderId="1" xfId="3" applyFont="1" applyFill="1" applyBorder="1" applyAlignment="1">
      <alignment horizontal="center" vertical="center"/>
    </xf>
    <xf numFmtId="0" fontId="24" fillId="9" borderId="1" xfId="3" applyFont="1" applyFill="1" applyBorder="1" applyAlignment="1">
      <alignment horizontal="center" vertical="center"/>
    </xf>
    <xf numFmtId="0" fontId="0" fillId="0" borderId="5" xfId="0" applyFill="1" applyBorder="1"/>
    <xf numFmtId="0" fontId="37" fillId="9" borderId="1" xfId="3" applyFont="1" applyFill="1" applyBorder="1" applyAlignment="1">
      <alignment horizontal="left" vertical="center"/>
    </xf>
    <xf numFmtId="3" fontId="24" fillId="9" borderId="1" xfId="2" applyNumberFormat="1" applyFont="1" applyFill="1" applyBorder="1" applyAlignment="1">
      <alignment horizontal="center" vertical="center"/>
    </xf>
    <xf numFmtId="0" fontId="24" fillId="8" borderId="1" xfId="3" applyFont="1" applyFill="1" applyBorder="1"/>
    <xf numFmtId="0" fontId="39" fillId="9" borderId="1" xfId="3" applyFont="1" applyFill="1" applyBorder="1" applyAlignment="1">
      <alignment horizontal="center" vertical="center"/>
    </xf>
    <xf numFmtId="0" fontId="29" fillId="9" borderId="1" xfId="3" applyFont="1" applyFill="1" applyBorder="1" applyAlignment="1">
      <alignment horizontal="center" wrapText="1"/>
    </xf>
    <xf numFmtId="0" fontId="39" fillId="6" borderId="1" xfId="3" applyFont="1" applyFill="1" applyBorder="1" applyAlignment="1">
      <alignment horizontal="center" vertical="center"/>
    </xf>
    <xf numFmtId="0" fontId="39" fillId="9" borderId="1" xfId="3" applyFont="1" applyFill="1" applyBorder="1" applyAlignment="1">
      <alignment vertical="center"/>
    </xf>
    <xf numFmtId="0" fontId="29" fillId="9" borderId="1" xfId="3" applyFont="1" applyFill="1" applyBorder="1" applyAlignment="1">
      <alignment vertical="center"/>
    </xf>
    <xf numFmtId="0" fontId="24" fillId="6" borderId="1" xfId="3" applyFont="1" applyFill="1" applyBorder="1"/>
    <xf numFmtId="0" fontId="34" fillId="9" borderId="1" xfId="3" applyFont="1" applyFill="1" applyBorder="1" applyAlignment="1">
      <alignment vertical="center"/>
    </xf>
    <xf numFmtId="0" fontId="34" fillId="9" borderId="1" xfId="3" applyFont="1" applyFill="1" applyBorder="1" applyAlignment="1">
      <alignment horizontal="center" wrapText="1"/>
    </xf>
    <xf numFmtId="0" fontId="37" fillId="6" borderId="1" xfId="3" applyFont="1" applyFill="1" applyBorder="1" applyAlignment="1">
      <alignment horizontal="center" vertical="center"/>
    </xf>
    <xf numFmtId="0" fontId="34" fillId="9" borderId="7" xfId="3" applyFont="1" applyFill="1" applyBorder="1" applyAlignment="1">
      <alignment vertical="center"/>
    </xf>
    <xf numFmtId="167" fontId="24" fillId="8" borderId="1" xfId="4" applyNumberFormat="1" applyFont="1" applyFill="1" applyBorder="1" applyAlignment="1">
      <alignment horizontal="center" vertical="center"/>
    </xf>
    <xf numFmtId="0" fontId="24" fillId="9" borderId="1" xfId="3" applyFont="1" applyFill="1" applyBorder="1" applyAlignment="1">
      <alignment horizontal="left" vertical="center"/>
    </xf>
    <xf numFmtId="167" fontId="24" fillId="9" borderId="1" xfId="4" applyNumberFormat="1" applyFont="1" applyFill="1" applyBorder="1" applyAlignment="1">
      <alignment horizontal="center" vertical="center"/>
    </xf>
    <xf numFmtId="0" fontId="24" fillId="9" borderId="1" xfId="3" applyFont="1" applyFill="1" applyBorder="1" applyAlignment="1">
      <alignment vertical="center"/>
    </xf>
    <xf numFmtId="0" fontId="28" fillId="9" borderId="1" xfId="2" applyFont="1" applyFill="1" applyBorder="1" applyAlignment="1">
      <alignment vertical="center"/>
    </xf>
    <xf numFmtId="0" fontId="0" fillId="10" borderId="1" xfId="0" applyFill="1" applyBorder="1" applyAlignment="1">
      <alignment horizontal="left" vertical="center"/>
    </xf>
    <xf numFmtId="0" fontId="0" fillId="10" borderId="1" xfId="0" applyFill="1" applyBorder="1" applyAlignment="1">
      <alignment horizontal="center" vertical="center"/>
    </xf>
    <xf numFmtId="0" fontId="0" fillId="10" borderId="1" xfId="0" applyFill="1" applyBorder="1" applyAlignment="1">
      <alignment vertical="center"/>
    </xf>
    <xf numFmtId="9" fontId="0" fillId="10" borderId="1" xfId="1" applyFont="1" applyFill="1" applyBorder="1" applyAlignment="1">
      <alignment horizontal="center" vertical="center"/>
    </xf>
    <xf numFmtId="0" fontId="0" fillId="0" borderId="1" xfId="0" applyFill="1" applyBorder="1"/>
    <xf numFmtId="0" fontId="27" fillId="2" borderId="1" xfId="0" applyFont="1" applyFill="1" applyBorder="1" applyAlignment="1">
      <alignment vertical="center"/>
    </xf>
    <xf numFmtId="0" fontId="0" fillId="6" borderId="1" xfId="0" applyFill="1" applyBorder="1"/>
    <xf numFmtId="0" fontId="27" fillId="2" borderId="1" xfId="0" applyFont="1" applyFill="1" applyBorder="1" applyAlignment="1"/>
    <xf numFmtId="0" fontId="0" fillId="2" borderId="1" xfId="0" applyFill="1" applyBorder="1"/>
    <xf numFmtId="0" fontId="0" fillId="6" borderId="1" xfId="0" applyFill="1" applyBorder="1" applyAlignment="1">
      <alignment horizontal="left" vertical="center" indent="2"/>
    </xf>
    <xf numFmtId="0" fontId="0" fillId="6" borderId="1" xfId="0" applyFill="1" applyBorder="1" applyAlignment="1">
      <alignment vertical="center"/>
    </xf>
    <xf numFmtId="0" fontId="0" fillId="6" borderId="1" xfId="0" applyFill="1" applyBorder="1" applyAlignment="1">
      <alignment horizontal="left" vertical="center" indent="4"/>
    </xf>
    <xf numFmtId="0" fontId="0" fillId="6" borderId="1" xfId="0" applyFill="1" applyBorder="1" applyAlignment="1">
      <alignment horizontal="center" vertical="center"/>
    </xf>
    <xf numFmtId="0" fontId="0" fillId="6" borderId="1" xfId="0" applyFill="1" applyBorder="1" applyAlignment="1">
      <alignment horizontal="left" indent="2"/>
    </xf>
    <xf numFmtId="0" fontId="0" fillId="6" borderId="1" xfId="0" applyFill="1" applyBorder="1" applyAlignment="1">
      <alignment horizontal="left" vertical="center" indent="6"/>
    </xf>
    <xf numFmtId="3" fontId="0" fillId="6" borderId="1" xfId="0" applyNumberFormat="1" applyFill="1" applyBorder="1" applyAlignment="1">
      <alignment horizontal="center"/>
    </xf>
    <xf numFmtId="0" fontId="0" fillId="6" borderId="1" xfId="0" applyFill="1" applyBorder="1" applyAlignment="1">
      <alignment horizontal="left" indent="4"/>
    </xf>
    <xf numFmtId="0" fontId="0" fillId="6" borderId="1" xfId="0" applyFill="1" applyBorder="1" applyAlignment="1">
      <alignment horizontal="left" indent="6"/>
    </xf>
    <xf numFmtId="0" fontId="0" fillId="6" borderId="1" xfId="0" applyFill="1" applyBorder="1" applyAlignment="1">
      <alignment horizontal="center"/>
    </xf>
    <xf numFmtId="3" fontId="0" fillId="6" borderId="1" xfId="1" applyNumberFormat="1" applyFont="1" applyFill="1" applyBorder="1" applyAlignment="1">
      <alignment horizontal="center" vertical="center"/>
    </xf>
    <xf numFmtId="0" fontId="27" fillId="6" borderId="1" xfId="0" applyFont="1" applyFill="1" applyBorder="1"/>
    <xf numFmtId="166" fontId="0" fillId="6" borderId="1" xfId="1" applyNumberFormat="1" applyFont="1" applyFill="1" applyBorder="1" applyAlignment="1">
      <alignment horizontal="center" vertical="center"/>
    </xf>
    <xf numFmtId="0" fontId="27" fillId="6" borderId="1" xfId="0" applyFont="1" applyFill="1" applyBorder="1" applyAlignment="1">
      <alignment horizontal="left" vertical="center"/>
    </xf>
    <xf numFmtId="0" fontId="27" fillId="6" borderId="1" xfId="0" applyFont="1" applyFill="1" applyBorder="1" applyAlignment="1">
      <alignment horizontal="center" vertical="center"/>
    </xf>
    <xf numFmtId="0" fontId="27" fillId="6" borderId="1" xfId="0" applyFont="1" applyFill="1" applyBorder="1" applyAlignment="1">
      <alignment horizontal="center"/>
    </xf>
    <xf numFmtId="0" fontId="0" fillId="6" borderId="1" xfId="0" applyFill="1" applyBorder="1" applyAlignment="1">
      <alignment horizontal="left" vertical="center"/>
    </xf>
    <xf numFmtId="0" fontId="0" fillId="6" borderId="1" xfId="0" applyFill="1" applyBorder="1" applyAlignment="1">
      <alignment horizontal="center" vertical="center" wrapText="1"/>
    </xf>
    <xf numFmtId="172" fontId="0" fillId="6" borderId="1" xfId="0" applyNumberFormat="1" applyFill="1" applyBorder="1" applyAlignment="1">
      <alignment horizontal="center" vertical="center"/>
    </xf>
    <xf numFmtId="0" fontId="34" fillId="6" borderId="1" xfId="3" applyFont="1" applyFill="1" applyBorder="1" applyAlignment="1">
      <alignment horizontal="center" vertical="center"/>
    </xf>
    <xf numFmtId="0" fontId="38" fillId="6" borderId="1" xfId="3" applyFont="1" applyFill="1" applyBorder="1" applyAlignment="1">
      <alignment horizontal="center" vertical="center"/>
    </xf>
    <xf numFmtId="0" fontId="37" fillId="6" borderId="1" xfId="3" applyFont="1" applyFill="1" applyBorder="1" applyAlignment="1">
      <alignment horizontal="left" vertical="center" indent="2"/>
    </xf>
    <xf numFmtId="3" fontId="24" fillId="6" borderId="1" xfId="2" applyNumberFormat="1" applyFont="1" applyFill="1" applyBorder="1" applyAlignment="1">
      <alignment horizontal="center" vertical="center"/>
    </xf>
    <xf numFmtId="0" fontId="37" fillId="6" borderId="1" xfId="3" applyFont="1" applyFill="1" applyBorder="1" applyAlignment="1">
      <alignment horizontal="left" vertical="center" indent="4"/>
    </xf>
    <xf numFmtId="0" fontId="24" fillId="6" borderId="1" xfId="3" applyFont="1" applyFill="1" applyBorder="1" applyAlignment="1">
      <alignment horizontal="center" vertical="center"/>
    </xf>
    <xf numFmtId="0" fontId="37" fillId="6" borderId="7" xfId="3" applyFont="1" applyFill="1" applyBorder="1" applyAlignment="1">
      <alignment horizontal="left" vertical="center" indent="2"/>
    </xf>
    <xf numFmtId="0" fontId="37" fillId="6" borderId="7" xfId="3" applyFont="1" applyFill="1" applyBorder="1" applyAlignment="1">
      <alignment horizontal="left" vertical="center" indent="4"/>
    </xf>
    <xf numFmtId="0" fontId="34" fillId="6" borderId="1" xfId="3" applyFont="1" applyFill="1" applyBorder="1" applyAlignment="1">
      <alignment vertical="center"/>
    </xf>
    <xf numFmtId="0" fontId="37" fillId="6" borderId="1" xfId="3" applyFont="1" applyFill="1" applyBorder="1" applyAlignment="1">
      <alignment vertical="center"/>
    </xf>
    <xf numFmtId="0" fontId="28" fillId="6" borderId="1" xfId="2" applyFont="1" applyFill="1" applyBorder="1" applyAlignment="1">
      <alignment vertical="center"/>
    </xf>
    <xf numFmtId="0" fontId="28" fillId="6" borderId="7" xfId="2" applyFont="1" applyFill="1" applyBorder="1" applyAlignment="1">
      <alignment vertical="center"/>
    </xf>
    <xf numFmtId="0" fontId="24" fillId="6" borderId="1" xfId="3" applyFont="1" applyFill="1" applyBorder="1" applyAlignment="1">
      <alignment horizontal="left" vertical="center"/>
    </xf>
    <xf numFmtId="5" fontId="24" fillId="6" borderId="1" xfId="4" applyNumberFormat="1" applyFont="1" applyFill="1" applyBorder="1" applyAlignment="1">
      <alignment horizontal="center" vertical="center"/>
    </xf>
    <xf numFmtId="167" fontId="24" fillId="6" borderId="1" xfId="4" applyNumberFormat="1" applyFont="1" applyFill="1" applyBorder="1" applyAlignment="1">
      <alignment horizontal="center" vertical="center"/>
    </xf>
    <xf numFmtId="0" fontId="24" fillId="6" borderId="1" xfId="3" applyFont="1" applyFill="1" applyBorder="1" applyAlignment="1">
      <alignment horizontal="left" vertical="center" indent="4"/>
    </xf>
    <xf numFmtId="167" fontId="24" fillId="8" borderId="1" xfId="4" applyNumberFormat="1" applyFont="1" applyFill="1" applyBorder="1" applyAlignment="1">
      <alignment vertical="center"/>
    </xf>
    <xf numFmtId="0" fontId="34" fillId="6" borderId="1" xfId="3" applyFont="1" applyFill="1" applyBorder="1" applyAlignment="1">
      <alignment horizontal="left" vertical="center"/>
    </xf>
    <xf numFmtId="0" fontId="34" fillId="6" borderId="1" xfId="3" applyFont="1" applyFill="1" applyBorder="1" applyAlignment="1">
      <alignment horizontal="center"/>
    </xf>
    <xf numFmtId="9" fontId="30" fillId="6" borderId="1" xfId="1" applyFont="1" applyFill="1" applyBorder="1" applyAlignment="1">
      <alignment horizontal="center" vertical="center"/>
    </xf>
    <xf numFmtId="9" fontId="24" fillId="6" borderId="1" xfId="1" applyFont="1" applyFill="1" applyBorder="1" applyAlignment="1">
      <alignment horizontal="center" vertical="center"/>
    </xf>
    <xf numFmtId="168" fontId="24" fillId="6" borderId="1" xfId="5" applyNumberFormat="1" applyFont="1" applyFill="1" applyBorder="1" applyAlignment="1">
      <alignment horizontal="center" vertical="center"/>
    </xf>
    <xf numFmtId="3" fontId="24" fillId="6" borderId="1" xfId="5" applyNumberFormat="1" applyFont="1" applyFill="1" applyBorder="1" applyAlignment="1">
      <alignment horizontal="center" vertical="center"/>
    </xf>
    <xf numFmtId="3" fontId="24" fillId="6" borderId="1" xfId="3" applyNumberFormat="1" applyFont="1" applyFill="1" applyBorder="1" applyAlignment="1">
      <alignment horizontal="center" vertical="center"/>
    </xf>
    <xf numFmtId="9" fontId="24" fillId="6" borderId="1" xfId="6" applyFont="1" applyFill="1" applyBorder="1" applyAlignment="1">
      <alignment horizontal="center" vertical="center"/>
    </xf>
    <xf numFmtId="5" fontId="24" fillId="6" borderId="1" xfId="3" applyNumberFormat="1" applyFont="1" applyFill="1" applyBorder="1" applyAlignment="1">
      <alignment horizontal="center"/>
    </xf>
    <xf numFmtId="0" fontId="24" fillId="7" borderId="0" xfId="3" applyFont="1" applyFill="1" applyAlignment="1">
      <alignment horizontal="left" vertical="center"/>
    </xf>
    <xf numFmtId="0" fontId="24" fillId="7" borderId="0" xfId="3" applyFont="1" applyFill="1"/>
    <xf numFmtId="0" fontId="25" fillId="7" borderId="0" xfId="3" applyFill="1"/>
    <xf numFmtId="167" fontId="25" fillId="7" borderId="0" xfId="3" applyNumberFormat="1" applyFill="1"/>
    <xf numFmtId="0" fontId="0" fillId="7" borderId="0" xfId="0" applyFill="1"/>
    <xf numFmtId="9" fontId="0" fillId="7" borderId="0" xfId="0" applyNumberFormat="1" applyFill="1"/>
    <xf numFmtId="3" fontId="0" fillId="7" borderId="0" xfId="0" applyNumberFormat="1" applyFill="1"/>
    <xf numFmtId="9" fontId="0" fillId="7" borderId="0" xfId="1" applyFont="1" applyFill="1"/>
    <xf numFmtId="2" fontId="0" fillId="7" borderId="0" xfId="1" applyNumberFormat="1" applyFont="1" applyFill="1" applyAlignment="1">
      <alignment horizontal="center" vertical="center"/>
    </xf>
    <xf numFmtId="2" fontId="0" fillId="7" borderId="0" xfId="0" applyNumberFormat="1" applyFill="1" applyAlignment="1">
      <alignment horizontal="center" vertical="center"/>
    </xf>
    <xf numFmtId="1" fontId="0" fillId="7" borderId="0" xfId="0" applyNumberFormat="1" applyFill="1"/>
    <xf numFmtId="0" fontId="0" fillId="7" borderId="0" xfId="0" applyFont="1" applyFill="1"/>
    <xf numFmtId="171" fontId="0" fillId="7" borderId="0" xfId="0" applyNumberFormat="1" applyFill="1"/>
    <xf numFmtId="170" fontId="0" fillId="7" borderId="0" xfId="0" applyNumberFormat="1" applyFill="1"/>
    <xf numFmtId="0" fontId="0" fillId="7" borderId="0" xfId="0" applyFill="1" applyAlignment="1">
      <alignment vertical="center"/>
    </xf>
    <xf numFmtId="7" fontId="24" fillId="6" borderId="1" xfId="4" applyNumberFormat="1" applyFont="1" applyFill="1" applyBorder="1" applyAlignment="1">
      <alignment horizontal="center" vertical="center"/>
    </xf>
    <xf numFmtId="0" fontId="22" fillId="6" borderId="0" xfId="3" applyFont="1" applyFill="1" applyAlignment="1">
      <alignment horizontal="left" indent="2"/>
    </xf>
    <xf numFmtId="0" fontId="37" fillId="6" borderId="1" xfId="3" applyFont="1" applyFill="1" applyBorder="1" applyAlignment="1">
      <alignment horizontal="left" vertical="center" indent="6"/>
    </xf>
    <xf numFmtId="0" fontId="22" fillId="6" borderId="1" xfId="0" applyFont="1" applyFill="1" applyBorder="1" applyAlignment="1">
      <alignment horizontal="left" indent="2"/>
    </xf>
    <xf numFmtId="6" fontId="24" fillId="6" borderId="1" xfId="3" applyNumberFormat="1" applyFont="1" applyFill="1" applyBorder="1" applyAlignment="1">
      <alignment horizontal="center"/>
    </xf>
    <xf numFmtId="0" fontId="23" fillId="6" borderId="1" xfId="3" applyFont="1" applyFill="1" applyBorder="1" applyAlignment="1">
      <alignment horizontal="center" vertical="center"/>
    </xf>
    <xf numFmtId="3" fontId="23" fillId="6" borderId="1" xfId="3" applyNumberFormat="1" applyFont="1" applyFill="1" applyBorder="1" applyAlignment="1">
      <alignment horizontal="center" vertical="center"/>
    </xf>
    <xf numFmtId="0" fontId="0" fillId="10" borderId="1" xfId="0" applyFont="1" applyFill="1" applyBorder="1" applyAlignment="1">
      <alignment vertical="center"/>
    </xf>
    <xf numFmtId="0" fontId="0" fillId="10" borderId="1" xfId="0" applyFill="1" applyBorder="1" applyAlignment="1"/>
    <xf numFmtId="172" fontId="0" fillId="6" borderId="1" xfId="1" applyNumberFormat="1" applyFont="1" applyFill="1" applyBorder="1" applyAlignment="1">
      <alignment horizontal="center" vertical="center"/>
    </xf>
    <xf numFmtId="0" fontId="0" fillId="11" borderId="1" xfId="0" applyFill="1" applyBorder="1"/>
    <xf numFmtId="0" fontId="27" fillId="11" borderId="1" xfId="0" applyFont="1" applyFill="1" applyBorder="1" applyAlignment="1"/>
    <xf numFmtId="7" fontId="21" fillId="6" borderId="1" xfId="4" applyNumberFormat="1" applyFont="1" applyFill="1" applyBorder="1" applyAlignment="1">
      <alignment horizontal="center" vertical="center"/>
    </xf>
    <xf numFmtId="9" fontId="24" fillId="12" borderId="1" xfId="6" applyFont="1" applyFill="1" applyBorder="1" applyAlignment="1">
      <alignment horizontal="center" vertical="center"/>
    </xf>
    <xf numFmtId="9" fontId="24" fillId="12" borderId="1" xfId="1" applyFont="1" applyFill="1" applyBorder="1" applyAlignment="1">
      <alignment horizontal="center" vertical="center"/>
    </xf>
    <xf numFmtId="0" fontId="21" fillId="6" borderId="1" xfId="3" applyFont="1" applyFill="1" applyBorder="1" applyAlignment="1">
      <alignment horizontal="left" vertical="center" indent="2"/>
    </xf>
    <xf numFmtId="0" fontId="21" fillId="6" borderId="1" xfId="3" applyFont="1" applyFill="1" applyBorder="1" applyAlignment="1">
      <alignment horizontal="left" vertical="center" indent="6"/>
    </xf>
    <xf numFmtId="0" fontId="21" fillId="6" borderId="1" xfId="3" applyFont="1" applyFill="1" applyBorder="1" applyAlignment="1">
      <alignment horizontal="left" vertical="center" indent="4"/>
    </xf>
    <xf numFmtId="0" fontId="21" fillId="6" borderId="1" xfId="3" applyFont="1" applyFill="1" applyBorder="1" applyAlignment="1">
      <alignment horizontal="left" vertical="center" indent="7"/>
    </xf>
    <xf numFmtId="0" fontId="20" fillId="6" borderId="1" xfId="3" applyFont="1" applyFill="1" applyBorder="1"/>
    <xf numFmtId="0" fontId="0" fillId="2" borderId="1" xfId="0" applyFont="1" applyFill="1" applyBorder="1" applyAlignment="1"/>
    <xf numFmtId="0" fontId="0" fillId="2" borderId="1" xfId="0" applyFont="1" applyFill="1" applyBorder="1" applyAlignment="1">
      <alignment vertical="center"/>
    </xf>
    <xf numFmtId="0" fontId="27" fillId="2" borderId="1" xfId="0" applyFont="1" applyFill="1" applyBorder="1" applyAlignment="1">
      <alignment horizontal="left"/>
    </xf>
    <xf numFmtId="0" fontId="0" fillId="10" borderId="1" xfId="0" applyFont="1" applyFill="1" applyBorder="1" applyAlignment="1">
      <alignment horizontal="left" vertical="center"/>
    </xf>
    <xf numFmtId="0" fontId="0" fillId="10" borderId="1" xfId="0" applyFill="1" applyBorder="1" applyAlignment="1">
      <alignment horizontal="left"/>
    </xf>
    <xf numFmtId="0" fontId="0" fillId="2" borderId="1" xfId="0" applyFont="1" applyFill="1" applyBorder="1" applyAlignment="1">
      <alignment horizontal="left" vertical="center"/>
    </xf>
    <xf numFmtId="0" fontId="20" fillId="6" borderId="1" xfId="3" applyFont="1" applyFill="1" applyBorder="1" applyAlignment="1">
      <alignment horizontal="left" vertical="center"/>
    </xf>
    <xf numFmtId="0" fontId="20" fillId="12" borderId="1" xfId="3" applyFont="1" applyFill="1" applyBorder="1" applyAlignment="1">
      <alignment horizontal="left" vertical="center"/>
    </xf>
    <xf numFmtId="0" fontId="34" fillId="12" borderId="1" xfId="3" applyFont="1" applyFill="1" applyBorder="1" applyAlignment="1">
      <alignment horizontal="left" vertical="center"/>
    </xf>
    <xf numFmtId="0" fontId="34" fillId="12" borderId="1" xfId="3" applyFont="1" applyFill="1" applyBorder="1" applyAlignment="1">
      <alignment vertical="center" wrapText="1"/>
    </xf>
    <xf numFmtId="9" fontId="30" fillId="12" borderId="1" xfId="1" applyFont="1" applyFill="1" applyBorder="1" applyAlignment="1">
      <alignment horizontal="center" vertical="center"/>
    </xf>
    <xf numFmtId="0" fontId="34" fillId="12" borderId="1" xfId="3" applyFont="1" applyFill="1" applyBorder="1" applyAlignment="1">
      <alignment horizontal="center"/>
    </xf>
    <xf numFmtId="0" fontId="34" fillId="12" borderId="1" xfId="3" applyFont="1" applyFill="1" applyBorder="1" applyAlignment="1">
      <alignment horizontal="center" vertical="center"/>
    </xf>
    <xf numFmtId="0" fontId="20" fillId="8" borderId="1" xfId="3" applyFont="1" applyFill="1" applyBorder="1"/>
    <xf numFmtId="0" fontId="20" fillId="9" borderId="1" xfId="3" applyFont="1" applyFill="1" applyBorder="1"/>
    <xf numFmtId="0" fontId="25" fillId="12" borderId="1" xfId="3" applyFill="1" applyBorder="1"/>
    <xf numFmtId="0" fontId="20" fillId="12" borderId="1" xfId="3" applyFont="1" applyFill="1" applyBorder="1"/>
    <xf numFmtId="0" fontId="20" fillId="6" borderId="1" xfId="3" applyFont="1" applyFill="1" applyBorder="1" applyAlignment="1">
      <alignment horizontal="left" vertical="center" indent="4"/>
    </xf>
    <xf numFmtId="0" fontId="20" fillId="6" borderId="1" xfId="3" applyFont="1" applyFill="1" applyBorder="1" applyAlignment="1">
      <alignment horizontal="left" vertical="center" indent="2"/>
    </xf>
    <xf numFmtId="0" fontId="34" fillId="6" borderId="1" xfId="3" applyFont="1" applyFill="1" applyBorder="1" applyAlignment="1">
      <alignment horizontal="center" wrapText="1"/>
    </xf>
    <xf numFmtId="0" fontId="0" fillId="13" borderId="0" xfId="0" applyFill="1"/>
    <xf numFmtId="165" fontId="0" fillId="13" borderId="0" xfId="1" applyNumberFormat="1" applyFont="1" applyFill="1"/>
    <xf numFmtId="0" fontId="19" fillId="6" borderId="1" xfId="3" applyFont="1" applyFill="1" applyBorder="1"/>
    <xf numFmtId="0" fontId="19" fillId="6" borderId="1" xfId="3" applyFont="1" applyFill="1" applyBorder="1" applyAlignment="1">
      <alignment horizontal="left" vertical="center" indent="7"/>
    </xf>
    <xf numFmtId="0" fontId="19" fillId="6" borderId="1" xfId="3" applyFont="1" applyFill="1" applyBorder="1" applyAlignment="1">
      <alignment horizontal="left" vertical="center" indent="6"/>
    </xf>
    <xf numFmtId="0" fontId="27" fillId="11" borderId="1" xfId="0" applyFont="1" applyFill="1" applyBorder="1" applyAlignment="1">
      <alignment horizontal="left" indent="2"/>
    </xf>
    <xf numFmtId="0" fontId="0" fillId="6" borderId="1" xfId="0" applyFill="1" applyBorder="1" applyAlignment="1">
      <alignment horizontal="left" vertical="center" indent="8"/>
    </xf>
    <xf numFmtId="0" fontId="0" fillId="10" borderId="1" xfId="0" applyFont="1" applyFill="1" applyBorder="1" applyAlignment="1">
      <alignment horizontal="left" vertical="center" indent="2"/>
    </xf>
    <xf numFmtId="0" fontId="0" fillId="6" borderId="1" xfId="0" applyFont="1" applyFill="1" applyBorder="1" applyAlignment="1">
      <alignment horizontal="left" vertical="center" indent="4"/>
    </xf>
    <xf numFmtId="0" fontId="0" fillId="10" borderId="1" xfId="0" applyFill="1" applyBorder="1" applyAlignment="1">
      <alignment horizontal="left" indent="2"/>
    </xf>
    <xf numFmtId="0" fontId="0" fillId="10" borderId="1" xfId="0" applyFill="1" applyBorder="1" applyAlignment="1">
      <alignment horizontal="left" vertical="center" indent="2"/>
    </xf>
    <xf numFmtId="0" fontId="34" fillId="8" borderId="1" xfId="3" applyFont="1" applyFill="1" applyBorder="1" applyAlignment="1">
      <alignment horizontal="center" wrapText="1"/>
    </xf>
    <xf numFmtId="0" fontId="34" fillId="4" borderId="1" xfId="3" applyFont="1" applyFill="1" applyBorder="1" applyAlignment="1" applyProtection="1">
      <alignment horizontal="center" wrapText="1"/>
      <protection locked="0"/>
    </xf>
    <xf numFmtId="7" fontId="24" fillId="4" borderId="1" xfId="7" applyNumberFormat="1" applyFont="1" applyFill="1" applyBorder="1" applyAlignment="1" applyProtection="1">
      <alignment horizontal="center" vertical="center"/>
      <protection locked="0"/>
    </xf>
    <xf numFmtId="7" fontId="23" fillId="4" borderId="1" xfId="7" applyNumberFormat="1" applyFont="1" applyFill="1" applyBorder="1" applyAlignment="1" applyProtection="1">
      <alignment horizontal="center" vertical="center"/>
      <protection locked="0"/>
    </xf>
    <xf numFmtId="7" fontId="23" fillId="0" borderId="7" xfId="7" applyNumberFormat="1" applyFont="1" applyBorder="1" applyAlignment="1" applyProtection="1">
      <alignment horizontal="center" vertical="center"/>
      <protection locked="0"/>
    </xf>
    <xf numFmtId="3" fontId="23" fillId="4" borderId="1" xfId="2" applyNumberFormat="1" applyFont="1" applyFill="1" applyBorder="1" applyAlignment="1" applyProtection="1">
      <alignment horizontal="center" vertical="center"/>
      <protection locked="0"/>
    </xf>
    <xf numFmtId="3" fontId="23" fillId="4" borderId="7" xfId="2" applyNumberFormat="1" applyFont="1" applyFill="1" applyBorder="1" applyAlignment="1" applyProtection="1">
      <alignment horizontal="center" vertical="center"/>
      <protection locked="0"/>
    </xf>
    <xf numFmtId="5" fontId="24" fillId="0" borderId="1" xfId="7" applyNumberFormat="1" applyFont="1" applyBorder="1" applyAlignment="1" applyProtection="1">
      <alignment horizontal="center" vertical="center"/>
      <protection locked="0"/>
    </xf>
    <xf numFmtId="3" fontId="24" fillId="4" borderId="1" xfId="2" applyNumberFormat="1" applyFont="1" applyFill="1" applyBorder="1" applyAlignment="1" applyProtection="1">
      <alignment horizontal="center" vertical="center"/>
      <protection locked="0"/>
    </xf>
    <xf numFmtId="1" fontId="23" fillId="4" borderId="1" xfId="7" applyNumberFormat="1" applyFont="1" applyFill="1" applyBorder="1" applyAlignment="1" applyProtection="1">
      <alignment horizontal="center" vertical="center"/>
      <protection locked="0"/>
    </xf>
    <xf numFmtId="0" fontId="0" fillId="4" borderId="1" xfId="0" applyFill="1" applyBorder="1" applyProtection="1">
      <protection locked="0"/>
    </xf>
    <xf numFmtId="3" fontId="0" fillId="4"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9" fontId="0" fillId="5" borderId="1" xfId="1" applyFont="1" applyFill="1" applyBorder="1" applyAlignment="1" applyProtection="1">
      <alignment horizontal="center" vertical="center"/>
      <protection locked="0"/>
    </xf>
    <xf numFmtId="2" fontId="0" fillId="4" borderId="1" xfId="0" applyNumberFormat="1" applyFill="1" applyBorder="1" applyAlignment="1" applyProtection="1">
      <alignment horizontal="center" vertical="center"/>
      <protection locked="0"/>
    </xf>
    <xf numFmtId="10" fontId="0" fillId="4" borderId="1" xfId="1" applyNumberFormat="1" applyFont="1" applyFill="1" applyBorder="1" applyAlignment="1" applyProtection="1">
      <alignment horizontal="center" vertical="center"/>
      <protection locked="0"/>
    </xf>
    <xf numFmtId="0" fontId="27" fillId="6" borderId="1" xfId="0" applyFont="1" applyFill="1" applyBorder="1" applyAlignment="1" applyProtection="1">
      <alignment horizontal="left" vertical="center"/>
    </xf>
    <xf numFmtId="0" fontId="0" fillId="6" borderId="1" xfId="0" applyFill="1" applyBorder="1" applyAlignment="1" applyProtection="1">
      <alignment horizontal="center" vertical="center"/>
    </xf>
    <xf numFmtId="3" fontId="0" fillId="6" borderId="1" xfId="0" applyNumberFormat="1" applyFill="1" applyBorder="1" applyAlignment="1" applyProtection="1">
      <alignment horizontal="center" vertical="center"/>
    </xf>
    <xf numFmtId="0" fontId="0" fillId="0" borderId="1" xfId="0" applyFill="1" applyBorder="1" applyAlignment="1">
      <alignment horizontal="center"/>
    </xf>
    <xf numFmtId="0" fontId="0" fillId="10" borderId="1" xfId="0" applyFill="1" applyBorder="1"/>
    <xf numFmtId="3" fontId="0" fillId="10" borderId="1" xfId="0" applyNumberFormat="1" applyFill="1" applyBorder="1" applyAlignment="1">
      <alignment horizontal="center" vertical="center"/>
    </xf>
    <xf numFmtId="0" fontId="0" fillId="6" borderId="1" xfId="0" applyFill="1" applyBorder="1" applyAlignment="1">
      <alignment horizontal="left" indent="8"/>
    </xf>
    <xf numFmtId="0" fontId="0" fillId="6" borderId="1" xfId="0" applyFill="1" applyBorder="1" applyAlignment="1">
      <alignment horizontal="left" indent="10"/>
    </xf>
    <xf numFmtId="168" fontId="18" fillId="6" borderId="1" xfId="5" applyNumberFormat="1" applyFont="1" applyFill="1" applyBorder="1" applyAlignment="1">
      <alignment horizontal="center" vertical="center"/>
    </xf>
    <xf numFmtId="3" fontId="0" fillId="6" borderId="1" xfId="0" applyNumberFormat="1" applyFill="1" applyBorder="1" applyAlignment="1">
      <alignment vertical="center"/>
    </xf>
    <xf numFmtId="3" fontId="37" fillId="6" borderId="1" xfId="3" applyNumberFormat="1" applyFont="1" applyFill="1" applyBorder="1" applyAlignment="1">
      <alignment horizontal="center" vertical="center"/>
    </xf>
    <xf numFmtId="174" fontId="0" fillId="0" borderId="0" xfId="0" applyNumberFormat="1"/>
    <xf numFmtId="10" fontId="0" fillId="6" borderId="1" xfId="1" applyNumberFormat="1" applyFont="1" applyFill="1" applyBorder="1" applyAlignment="1">
      <alignment horizontal="center" vertical="center"/>
    </xf>
    <xf numFmtId="0" fontId="0" fillId="10" borderId="1" xfId="0" applyFill="1" applyBorder="1" applyAlignment="1">
      <alignment horizontal="left" vertical="center" indent="4"/>
    </xf>
    <xf numFmtId="4" fontId="24" fillId="6" borderId="1" xfId="5" applyNumberFormat="1" applyFont="1" applyFill="1" applyBorder="1" applyAlignment="1">
      <alignment horizontal="center" vertical="center"/>
    </xf>
    <xf numFmtId="0" fontId="0" fillId="6" borderId="1" xfId="0" applyFont="1" applyFill="1" applyBorder="1" applyAlignment="1">
      <alignment horizontal="center" vertical="center"/>
    </xf>
    <xf numFmtId="0" fontId="24" fillId="6" borderId="1" xfId="3" applyFont="1" applyFill="1" applyBorder="1" applyAlignment="1">
      <alignment horizontal="center" vertical="center" wrapText="1"/>
    </xf>
    <xf numFmtId="0" fontId="24" fillId="6" borderId="1" xfId="3" applyFont="1" applyFill="1" applyBorder="1" applyAlignment="1">
      <alignment horizontal="left" vertical="center" indent="5"/>
    </xf>
    <xf numFmtId="0" fontId="24" fillId="9" borderId="1" xfId="3" applyFont="1" applyFill="1" applyBorder="1" applyAlignment="1">
      <alignment horizontal="left" vertical="center" indent="2"/>
    </xf>
    <xf numFmtId="0" fontId="20" fillId="6" borderId="1" xfId="3" applyFont="1" applyFill="1" applyBorder="1" applyAlignment="1">
      <alignment horizontal="left" vertical="center" indent="6"/>
    </xf>
    <xf numFmtId="0" fontId="24" fillId="6" borderId="1" xfId="3" applyFont="1" applyFill="1" applyBorder="1" applyAlignment="1">
      <alignment horizontal="left" vertical="center" indent="6"/>
    </xf>
    <xf numFmtId="0" fontId="17" fillId="6" borderId="1" xfId="3" applyFont="1" applyFill="1" applyBorder="1" applyAlignment="1">
      <alignment horizontal="left" vertical="center" indent="6"/>
    </xf>
    <xf numFmtId="173" fontId="24" fillId="6" borderId="1" xfId="4" applyNumberFormat="1" applyFont="1" applyFill="1" applyBorder="1" applyAlignment="1" applyProtection="1">
      <alignment horizontal="center"/>
    </xf>
    <xf numFmtId="3" fontId="0" fillId="10" borderId="1" xfId="0" applyNumberFormat="1" applyFill="1" applyBorder="1" applyAlignment="1">
      <alignment horizontal="left" vertical="center"/>
    </xf>
    <xf numFmtId="3" fontId="0" fillId="10" borderId="1" xfId="0" applyNumberFormat="1" applyFill="1" applyBorder="1" applyAlignment="1">
      <alignment horizontal="left" vertical="center" indent="2"/>
    </xf>
    <xf numFmtId="3" fontId="0" fillId="10" borderId="1" xfId="0" applyNumberFormat="1" applyFill="1" applyBorder="1" applyAlignment="1">
      <alignment horizontal="center"/>
    </xf>
    <xf numFmtId="0" fontId="16" fillId="6" borderId="1" xfId="3" applyFont="1" applyFill="1" applyBorder="1" applyAlignment="1">
      <alignment horizontal="left" vertical="center"/>
    </xf>
    <xf numFmtId="0" fontId="15" fillId="6" borderId="1" xfId="3" applyFont="1" applyFill="1" applyBorder="1" applyAlignment="1">
      <alignment horizontal="left" vertical="center"/>
    </xf>
    <xf numFmtId="0" fontId="15" fillId="14" borderId="1" xfId="3" applyFont="1" applyFill="1" applyBorder="1" applyAlignment="1">
      <alignment horizontal="left" vertical="center"/>
    </xf>
    <xf numFmtId="9" fontId="30" fillId="14" borderId="1" xfId="1" applyFont="1" applyFill="1" applyBorder="1" applyAlignment="1">
      <alignment horizontal="center" vertical="center"/>
    </xf>
    <xf numFmtId="9" fontId="24" fillId="14" borderId="1" xfId="1" applyFont="1" applyFill="1" applyBorder="1" applyAlignment="1">
      <alignment horizontal="center" vertical="center"/>
    </xf>
    <xf numFmtId="0" fontId="0" fillId="14" borderId="1" xfId="0" applyFont="1" applyFill="1" applyBorder="1" applyAlignment="1"/>
    <xf numFmtId="0" fontId="24" fillId="6" borderId="1" xfId="3" applyFont="1" applyFill="1" applyBorder="1" applyAlignment="1">
      <alignment horizontal="left" vertical="center" indent="2"/>
    </xf>
    <xf numFmtId="0" fontId="15" fillId="6" borderId="1" xfId="3" applyFont="1" applyFill="1" applyBorder="1" applyAlignment="1">
      <alignment horizontal="left" vertical="center" indent="2"/>
    </xf>
    <xf numFmtId="6" fontId="24" fillId="6" borderId="1" xfId="3" applyNumberFormat="1" applyFont="1" applyFill="1" applyBorder="1" applyAlignment="1">
      <alignment horizontal="center" vertical="center"/>
    </xf>
    <xf numFmtId="0" fontId="15" fillId="6" borderId="1" xfId="3" applyFont="1" applyFill="1" applyBorder="1" applyAlignment="1">
      <alignment horizontal="center" vertical="center"/>
    </xf>
    <xf numFmtId="9" fontId="15" fillId="6" borderId="1" xfId="6" applyFont="1" applyFill="1" applyBorder="1" applyAlignment="1">
      <alignment horizontal="center" vertical="center"/>
    </xf>
    <xf numFmtId="0" fontId="24" fillId="6" borderId="1" xfId="3" applyFont="1" applyFill="1" applyBorder="1" applyAlignment="1">
      <alignment horizontal="left" indent="2"/>
    </xf>
    <xf numFmtId="0" fontId="18" fillId="6" borderId="1" xfId="3" applyFont="1" applyFill="1" applyBorder="1" applyAlignment="1">
      <alignment horizontal="left" vertical="center" indent="2"/>
    </xf>
    <xf numFmtId="0" fontId="33" fillId="14" borderId="1" xfId="3" applyFont="1" applyFill="1" applyBorder="1" applyAlignment="1">
      <alignment horizontal="left" vertical="center" indent="2"/>
    </xf>
    <xf numFmtId="9" fontId="0" fillId="0" borderId="0" xfId="0" applyNumberFormat="1"/>
    <xf numFmtId="0" fontId="0" fillId="0" borderId="0" xfId="0" applyBorder="1" applyAlignment="1">
      <alignment horizontal="left" vertical="center" indent="3"/>
    </xf>
    <xf numFmtId="0" fontId="0" fillId="0" borderId="0" xfId="0" applyBorder="1" applyAlignment="1">
      <alignment horizontal="center" vertical="center"/>
    </xf>
    <xf numFmtId="9" fontId="0" fillId="0" borderId="0" xfId="1" applyFont="1" applyBorder="1" applyAlignment="1">
      <alignment horizontal="center" vertical="center"/>
    </xf>
    <xf numFmtId="0" fontId="0" fillId="0" borderId="0" xfId="0" applyBorder="1" applyAlignment="1">
      <alignment horizontal="left" vertical="center"/>
    </xf>
    <xf numFmtId="0" fontId="33" fillId="6" borderId="1" xfId="3" applyFont="1" applyFill="1" applyBorder="1" applyAlignment="1">
      <alignment horizontal="left" vertical="center" indent="2"/>
    </xf>
    <xf numFmtId="9" fontId="25" fillId="7" borderId="0" xfId="1" applyFont="1" applyFill="1"/>
    <xf numFmtId="2" fontId="25" fillId="7" borderId="0" xfId="1" applyNumberFormat="1" applyFont="1" applyFill="1"/>
    <xf numFmtId="0" fontId="14" fillId="6" borderId="1" xfId="3" applyFont="1" applyFill="1" applyBorder="1"/>
    <xf numFmtId="0" fontId="14" fillId="9" borderId="1" xfId="3" applyFont="1" applyFill="1" applyBorder="1"/>
    <xf numFmtId="0" fontId="14" fillId="7" borderId="0" xfId="3" applyFont="1" applyFill="1"/>
    <xf numFmtId="175" fontId="25" fillId="7" borderId="0" xfId="3" applyNumberFormat="1" applyFill="1"/>
    <xf numFmtId="0" fontId="13" fillId="6" borderId="1" xfId="3" applyFont="1" applyFill="1" applyBorder="1"/>
    <xf numFmtId="0" fontId="13" fillId="6" borderId="1" xfId="3" applyFont="1" applyFill="1" applyBorder="1" applyAlignment="1">
      <alignment horizontal="left" vertical="center" indent="2"/>
    </xf>
    <xf numFmtId="0" fontId="13" fillId="6" borderId="1" xfId="8" applyFont="1" applyFill="1" applyBorder="1" applyAlignment="1">
      <alignment horizontal="left" indent="2"/>
    </xf>
    <xf numFmtId="0" fontId="0" fillId="5" borderId="1" xfId="0" applyFill="1" applyBorder="1" applyAlignment="1" applyProtection="1">
      <alignment horizontal="center" vertical="center"/>
    </xf>
    <xf numFmtId="0" fontId="12" fillId="6" borderId="1" xfId="3" applyFont="1" applyFill="1" applyBorder="1" applyAlignment="1">
      <alignment horizontal="left" vertical="center" indent="2"/>
    </xf>
    <xf numFmtId="7" fontId="11" fillId="0" borderId="1" xfId="7" applyNumberFormat="1" applyFont="1" applyBorder="1" applyAlignment="1" applyProtection="1">
      <alignment horizontal="center" vertical="center"/>
      <protection locked="0"/>
    </xf>
    <xf numFmtId="7" fontId="11" fillId="4" borderId="1" xfId="7" applyNumberFormat="1" applyFont="1" applyFill="1" applyBorder="1" applyAlignment="1" applyProtection="1">
      <alignment horizontal="center" vertical="center"/>
      <protection locked="0"/>
    </xf>
    <xf numFmtId="3" fontId="11" fillId="4" borderId="1" xfId="2" applyNumberFormat="1" applyFont="1" applyFill="1" applyBorder="1" applyAlignment="1" applyProtection="1">
      <alignment horizontal="center" vertical="center"/>
      <protection locked="0"/>
    </xf>
    <xf numFmtId="0" fontId="11" fillId="6" borderId="1" xfId="3" applyFont="1" applyFill="1" applyBorder="1" applyAlignment="1">
      <alignment horizontal="center" vertical="center"/>
    </xf>
    <xf numFmtId="5" fontId="11" fillId="0" borderId="1" xfId="7" applyNumberFormat="1" applyFont="1" applyBorder="1" applyAlignment="1" applyProtection="1">
      <alignment horizontal="center" vertical="center"/>
      <protection locked="0"/>
    </xf>
    <xf numFmtId="3" fontId="11" fillId="4" borderId="7" xfId="2" applyNumberFormat="1" applyFont="1" applyFill="1" applyBorder="1" applyAlignment="1" applyProtection="1">
      <alignment horizontal="center" vertical="center"/>
      <protection locked="0"/>
    </xf>
    <xf numFmtId="1" fontId="11" fillId="4" borderId="1" xfId="7" applyNumberFormat="1" applyFont="1" applyFill="1" applyBorder="1" applyAlignment="1" applyProtection="1">
      <alignment horizontal="center" vertical="center"/>
      <protection locked="0"/>
    </xf>
    <xf numFmtId="3" fontId="0" fillId="0" borderId="0" xfId="0" applyNumberFormat="1"/>
    <xf numFmtId="2" fontId="0" fillId="0" borderId="0" xfId="0" applyNumberFormat="1"/>
    <xf numFmtId="7" fontId="11" fillId="6" borderId="1" xfId="7" applyNumberFormat="1" applyFont="1" applyFill="1" applyBorder="1" applyAlignment="1" applyProtection="1">
      <alignment horizontal="center" vertical="center"/>
    </xf>
    <xf numFmtId="0" fontId="9" fillId="6" borderId="1" xfId="3" applyFont="1" applyFill="1" applyBorder="1"/>
    <xf numFmtId="0" fontId="46" fillId="5" borderId="1" xfId="9" applyFont="1" applyFill="1" applyBorder="1" applyAlignment="1" applyProtection="1">
      <alignment horizontal="center" vertical="center"/>
    </xf>
    <xf numFmtId="6" fontId="25" fillId="7" borderId="0" xfId="3" applyNumberFormat="1" applyFill="1"/>
    <xf numFmtId="9" fontId="14" fillId="7" borderId="0" xfId="1" applyFont="1" applyFill="1"/>
    <xf numFmtId="8" fontId="25" fillId="7" borderId="0" xfId="3" applyNumberFormat="1" applyFill="1"/>
    <xf numFmtId="0" fontId="7" fillId="6" borderId="1" xfId="3" applyFont="1" applyFill="1" applyBorder="1"/>
    <xf numFmtId="0" fontId="7" fillId="6" borderId="1" xfId="3" applyFont="1" applyFill="1" applyBorder="1" applyAlignment="1">
      <alignment horizontal="left" vertical="center" indent="5"/>
    </xf>
    <xf numFmtId="0" fontId="7" fillId="6" borderId="1" xfId="3" applyFont="1" applyFill="1" applyBorder="1" applyAlignment="1">
      <alignment horizontal="left" vertical="center" indent="7"/>
    </xf>
    <xf numFmtId="0" fontId="0" fillId="6" borderId="1" xfId="0" applyFill="1" applyBorder="1" applyAlignment="1">
      <alignment vertical="center" wrapText="1"/>
    </xf>
    <xf numFmtId="0" fontId="6" fillId="6" borderId="1" xfId="3" applyFont="1" applyFill="1" applyBorder="1"/>
    <xf numFmtId="0" fontId="6" fillId="6" borderId="1" xfId="3" applyFont="1" applyFill="1" applyBorder="1" applyAlignment="1">
      <alignment horizontal="left" vertical="center" indent="4"/>
    </xf>
    <xf numFmtId="9" fontId="25" fillId="7" borderId="0" xfId="3" applyNumberFormat="1" applyFill="1"/>
    <xf numFmtId="3" fontId="0" fillId="4" borderId="21" xfId="0" applyNumberFormat="1" applyFill="1" applyBorder="1" applyAlignment="1" applyProtection="1">
      <alignment horizontal="center" vertical="center"/>
    </xf>
    <xf numFmtId="0" fontId="25" fillId="4" borderId="0" xfId="3" applyFill="1" applyBorder="1" applyProtection="1"/>
    <xf numFmtId="0" fontId="25" fillId="4" borderId="19" xfId="3" applyFill="1" applyBorder="1" applyProtection="1"/>
    <xf numFmtId="0" fontId="34" fillId="6" borderId="21" xfId="3" applyFont="1" applyFill="1" applyBorder="1" applyAlignment="1" applyProtection="1">
      <alignment horizontal="center" vertical="center"/>
    </xf>
    <xf numFmtId="0" fontId="8" fillId="4" borderId="0" xfId="3" applyFont="1" applyFill="1" applyBorder="1" applyProtection="1"/>
    <xf numFmtId="0" fontId="25" fillId="4" borderId="11" xfId="3" applyFill="1" applyBorder="1" applyProtection="1"/>
    <xf numFmtId="9" fontId="0" fillId="5" borderId="21" xfId="1" applyFont="1" applyFill="1" applyBorder="1" applyAlignment="1" applyProtection="1">
      <alignment horizontal="center" vertical="center"/>
    </xf>
    <xf numFmtId="0" fontId="6" fillId="4" borderId="1" xfId="3" applyFont="1" applyFill="1" applyBorder="1" applyAlignment="1" applyProtection="1">
      <alignment horizontal="center" vertical="center"/>
    </xf>
    <xf numFmtId="0" fontId="25" fillId="4" borderId="0" xfId="3" applyFill="1" applyBorder="1" applyAlignment="1" applyProtection="1"/>
    <xf numFmtId="0" fontId="25" fillId="4" borderId="19" xfId="3" applyFill="1" applyBorder="1" applyAlignment="1" applyProtection="1"/>
    <xf numFmtId="0" fontId="25" fillId="4" borderId="10" xfId="3" applyFill="1" applyBorder="1" applyAlignment="1" applyProtection="1"/>
    <xf numFmtId="0" fontId="25" fillId="7" borderId="0" xfId="3" applyFill="1" applyProtection="1"/>
    <xf numFmtId="2" fontId="0" fillId="6" borderId="1" xfId="1" applyNumberFormat="1" applyFont="1" applyFill="1" applyBorder="1" applyAlignment="1">
      <alignment horizontal="center" vertical="center"/>
    </xf>
    <xf numFmtId="10" fontId="19" fillId="0" borderId="1" xfId="1" applyNumberFormat="1" applyFont="1" applyFill="1" applyBorder="1" applyAlignment="1" applyProtection="1">
      <alignment horizontal="center" vertical="center"/>
      <protection locked="0"/>
    </xf>
    <xf numFmtId="10" fontId="24" fillId="0" borderId="1" xfId="1" applyNumberFormat="1" applyFont="1" applyFill="1" applyBorder="1" applyAlignment="1" applyProtection="1">
      <alignment horizontal="center" vertical="center"/>
      <protection locked="0"/>
    </xf>
    <xf numFmtId="3" fontId="46" fillId="6" borderId="1" xfId="0" applyNumberFormat="1" applyFont="1" applyFill="1" applyBorder="1" applyAlignment="1">
      <alignment horizontal="center" vertical="center"/>
    </xf>
    <xf numFmtId="4" fontId="0" fillId="6" borderId="1" xfId="0" applyNumberFormat="1" applyFill="1" applyBorder="1" applyAlignment="1">
      <alignment horizontal="center" vertical="center"/>
    </xf>
    <xf numFmtId="166" fontId="0" fillId="4" borderId="1" xfId="1" applyNumberFormat="1" applyFont="1" applyFill="1" applyBorder="1" applyProtection="1">
      <protection locked="0"/>
    </xf>
    <xf numFmtId="176" fontId="0" fillId="0" borderId="0" xfId="0" applyNumberFormat="1"/>
    <xf numFmtId="10" fontId="26" fillId="4" borderId="1" xfId="1" applyNumberFormat="1" applyFont="1" applyFill="1" applyBorder="1" applyAlignment="1" applyProtection="1">
      <alignment horizontal="center" vertical="center"/>
      <protection locked="0"/>
    </xf>
    <xf numFmtId="7" fontId="4" fillId="0" borderId="1" xfId="7" applyNumberFormat="1" applyFont="1" applyBorder="1" applyAlignment="1" applyProtection="1">
      <alignment horizontal="center" vertical="center"/>
      <protection locked="0"/>
    </xf>
    <xf numFmtId="9" fontId="4" fillId="0" borderId="1" xfId="1" applyFont="1" applyBorder="1" applyAlignment="1" applyProtection="1">
      <alignment horizontal="center" vertical="center"/>
      <protection locked="0"/>
    </xf>
    <xf numFmtId="7" fontId="4" fillId="4" borderId="1" xfId="7" applyNumberFormat="1" applyFont="1" applyFill="1" applyBorder="1" applyAlignment="1" applyProtection="1">
      <alignment horizontal="center" vertical="center"/>
      <protection locked="0"/>
    </xf>
    <xf numFmtId="3" fontId="4" fillId="4" borderId="1" xfId="2" applyNumberFormat="1" applyFont="1" applyFill="1" applyBorder="1" applyAlignment="1" applyProtection="1">
      <alignment horizontal="center" vertical="center"/>
      <protection locked="0"/>
    </xf>
    <xf numFmtId="5" fontId="4" fillId="0" borderId="1" xfId="7" applyNumberFormat="1" applyFont="1" applyBorder="1" applyAlignment="1" applyProtection="1">
      <alignment horizontal="center" vertical="center"/>
      <protection locked="0"/>
    </xf>
    <xf numFmtId="0" fontId="4" fillId="4" borderId="0" xfId="3" applyFont="1" applyFill="1" applyBorder="1" applyProtection="1"/>
    <xf numFmtId="1" fontId="0" fillId="5" borderId="1" xfId="1" applyNumberFormat="1" applyFont="1" applyFill="1" applyBorder="1" applyAlignment="1" applyProtection="1">
      <alignment horizontal="center" vertical="center" wrapText="1"/>
      <protection locked="0"/>
    </xf>
    <xf numFmtId="166" fontId="0" fillId="4" borderId="1" xfId="1" applyNumberFormat="1" applyFont="1" applyFill="1" applyBorder="1" applyAlignment="1" applyProtection="1">
      <alignment horizontal="center" vertical="center"/>
      <protection locked="0"/>
    </xf>
    <xf numFmtId="0" fontId="0" fillId="4" borderId="1" xfId="0" applyNumberFormat="1" applyFill="1" applyBorder="1" applyProtection="1">
      <protection locked="0"/>
    </xf>
    <xf numFmtId="0" fontId="0" fillId="4" borderId="1" xfId="1" applyNumberFormat="1" applyFont="1" applyFill="1" applyBorder="1" applyProtection="1">
      <protection locked="0"/>
    </xf>
    <xf numFmtId="0" fontId="46" fillId="4" borderId="1" xfId="0" applyNumberFormat="1" applyFont="1" applyFill="1" applyBorder="1" applyProtection="1">
      <protection locked="0"/>
    </xf>
    <xf numFmtId="0" fontId="0" fillId="6" borderId="1" xfId="0" applyNumberFormat="1" applyFill="1" applyBorder="1" applyAlignment="1">
      <alignment horizontal="center" vertical="center" wrapText="1"/>
    </xf>
    <xf numFmtId="3" fontId="0" fillId="4" borderId="1" xfId="0" applyNumberFormat="1" applyFill="1" applyBorder="1" applyAlignment="1" applyProtection="1">
      <alignment horizontal="center"/>
      <protection locked="0"/>
    </xf>
    <xf numFmtId="4" fontId="0" fillId="4" borderId="1" xfId="0" applyNumberFormat="1" applyFill="1" applyBorder="1" applyAlignment="1" applyProtection="1">
      <alignment horizontal="center" vertical="center"/>
      <protection locked="0"/>
    </xf>
    <xf numFmtId="7" fontId="2" fillId="4" borderId="1" xfId="7" applyNumberFormat="1" applyFont="1" applyFill="1" applyBorder="1" applyAlignment="1" applyProtection="1">
      <alignment horizontal="center" vertical="center"/>
      <protection locked="0"/>
    </xf>
    <xf numFmtId="1" fontId="2" fillId="4" borderId="1" xfId="7" applyNumberFormat="1" applyFont="1" applyFill="1" applyBorder="1" applyAlignment="1" applyProtection="1">
      <alignment horizontal="center" vertical="center"/>
      <protection locked="0"/>
    </xf>
    <xf numFmtId="0" fontId="35" fillId="6" borderId="21" xfId="3" applyFont="1" applyFill="1" applyBorder="1" applyAlignment="1" applyProtection="1">
      <alignment horizontal="center" vertical="center"/>
    </xf>
    <xf numFmtId="0" fontId="35" fillId="6" borderId="1" xfId="3" applyFont="1" applyFill="1" applyBorder="1" applyAlignment="1" applyProtection="1">
      <alignment horizontal="center" vertical="center"/>
    </xf>
    <xf numFmtId="0" fontId="35" fillId="6" borderId="22" xfId="3" applyFont="1" applyFill="1" applyBorder="1" applyAlignment="1" applyProtection="1">
      <alignment horizontal="center" vertical="center"/>
    </xf>
    <xf numFmtId="0" fontId="35" fillId="12" borderId="21" xfId="3" applyFont="1" applyFill="1" applyBorder="1" applyAlignment="1" applyProtection="1">
      <alignment horizontal="left" vertical="center"/>
    </xf>
    <xf numFmtId="0" fontId="35" fillId="12" borderId="1" xfId="3" applyFont="1" applyFill="1" applyBorder="1" applyAlignment="1" applyProtection="1">
      <alignment horizontal="left" vertical="center"/>
    </xf>
    <xf numFmtId="0" fontId="35" fillId="12" borderId="22" xfId="3" applyFont="1" applyFill="1" applyBorder="1" applyAlignment="1" applyProtection="1">
      <alignment horizontal="left" vertical="center"/>
    </xf>
    <xf numFmtId="0" fontId="4" fillId="6" borderId="21" xfId="3" applyFont="1" applyFill="1" applyBorder="1" applyAlignment="1" applyProtection="1">
      <alignment horizontal="left" vertical="center" wrapText="1"/>
    </xf>
    <xf numFmtId="0" fontId="10" fillId="6" borderId="1" xfId="3" applyFont="1" applyFill="1" applyBorder="1" applyAlignment="1" applyProtection="1">
      <alignment horizontal="left" vertical="center" wrapText="1"/>
    </xf>
    <xf numFmtId="0" fontId="10" fillId="6" borderId="22" xfId="3" applyFont="1" applyFill="1" applyBorder="1" applyAlignment="1" applyProtection="1">
      <alignment horizontal="left" vertical="center" wrapText="1"/>
    </xf>
    <xf numFmtId="0" fontId="10" fillId="6" borderId="21" xfId="3" applyFont="1" applyFill="1" applyBorder="1" applyAlignment="1" applyProtection="1">
      <alignment horizontal="left" vertical="center" wrapText="1"/>
    </xf>
    <xf numFmtId="0" fontId="29" fillId="14" borderId="23" xfId="3" applyFont="1" applyFill="1" applyBorder="1" applyAlignment="1" applyProtection="1">
      <alignment horizontal="center" vertical="center"/>
    </xf>
    <xf numFmtId="0" fontId="29" fillId="14" borderId="16" xfId="3" applyFont="1" applyFill="1" applyBorder="1" applyAlignment="1" applyProtection="1">
      <alignment horizontal="center" vertical="center"/>
    </xf>
    <xf numFmtId="0" fontId="29" fillId="14" borderId="24" xfId="3" applyFont="1" applyFill="1" applyBorder="1" applyAlignment="1" applyProtection="1">
      <alignment horizontal="center" vertical="center"/>
    </xf>
    <xf numFmtId="0" fontId="29" fillId="14" borderId="9" xfId="3" applyFont="1" applyFill="1" applyBorder="1" applyAlignment="1" applyProtection="1">
      <alignment horizontal="center" vertical="center"/>
    </xf>
    <xf numFmtId="0" fontId="29" fillId="14" borderId="1" xfId="3" applyFont="1" applyFill="1" applyBorder="1" applyAlignment="1" applyProtection="1">
      <alignment horizontal="center" vertical="center" wrapText="1"/>
    </xf>
    <xf numFmtId="0" fontId="29" fillId="14" borderId="22" xfId="3" applyFont="1" applyFill="1" applyBorder="1" applyAlignment="1" applyProtection="1">
      <alignment horizontal="center" vertical="center" wrapText="1"/>
    </xf>
    <xf numFmtId="0" fontId="8" fillId="4" borderId="17" xfId="3" applyFont="1" applyFill="1" applyBorder="1" applyAlignment="1" applyProtection="1">
      <alignment horizontal="left" vertical="center" wrapText="1"/>
    </xf>
    <xf numFmtId="0" fontId="8" fillId="4" borderId="16" xfId="3" applyFont="1" applyFill="1" applyBorder="1" applyAlignment="1" applyProtection="1">
      <alignment horizontal="left" vertical="center" wrapText="1"/>
    </xf>
    <xf numFmtId="0" fontId="8" fillId="4" borderId="20" xfId="3" applyFont="1" applyFill="1" applyBorder="1" applyAlignment="1" applyProtection="1">
      <alignment horizontal="left" vertical="center" wrapText="1"/>
    </xf>
    <xf numFmtId="0" fontId="8" fillId="4" borderId="15" xfId="3" applyFont="1" applyFill="1" applyBorder="1" applyAlignment="1" applyProtection="1">
      <alignment horizontal="left" vertical="center" wrapText="1"/>
    </xf>
    <xf numFmtId="0" fontId="8" fillId="4" borderId="0" xfId="3" applyFont="1" applyFill="1" applyBorder="1" applyAlignment="1" applyProtection="1">
      <alignment horizontal="left" vertical="center" wrapText="1"/>
    </xf>
    <xf numFmtId="0" fontId="8" fillId="4" borderId="11" xfId="3" applyFont="1" applyFill="1" applyBorder="1" applyAlignment="1" applyProtection="1">
      <alignment horizontal="left" vertical="center" wrapText="1"/>
    </xf>
    <xf numFmtId="0" fontId="4" fillId="4" borderId="15" xfId="3" applyFont="1" applyFill="1" applyBorder="1" applyAlignment="1" applyProtection="1">
      <alignment horizontal="left" vertical="center" wrapText="1"/>
    </xf>
    <xf numFmtId="0" fontId="5" fillId="6" borderId="1" xfId="3" applyFont="1" applyFill="1" applyBorder="1" applyAlignment="1" applyProtection="1">
      <alignment horizontal="center" vertical="center"/>
    </xf>
    <xf numFmtId="0" fontId="5" fillId="6" borderId="22" xfId="3" applyFont="1" applyFill="1" applyBorder="1" applyAlignment="1" applyProtection="1">
      <alignment horizontal="center" vertical="center"/>
    </xf>
    <xf numFmtId="0" fontId="4" fillId="4" borderId="17" xfId="3" applyFont="1" applyFill="1" applyBorder="1" applyAlignment="1" applyProtection="1">
      <alignment horizontal="left" vertical="center" wrapText="1"/>
    </xf>
    <xf numFmtId="0" fontId="8" fillId="4" borderId="18" xfId="3" applyFont="1" applyFill="1" applyBorder="1" applyAlignment="1" applyProtection="1">
      <alignment horizontal="left" vertical="center" wrapText="1"/>
    </xf>
    <xf numFmtId="0" fontId="8" fillId="4" borderId="19" xfId="3" applyFont="1" applyFill="1" applyBorder="1" applyAlignment="1" applyProtection="1">
      <alignment horizontal="left" vertical="center" wrapText="1"/>
    </xf>
    <xf numFmtId="0" fontId="25" fillId="4" borderId="15" xfId="3" applyFill="1" applyBorder="1" applyAlignment="1" applyProtection="1">
      <alignment horizontal="center"/>
    </xf>
    <xf numFmtId="0" fontId="25" fillId="4" borderId="0" xfId="3" applyFill="1" applyBorder="1" applyAlignment="1" applyProtection="1">
      <alignment horizontal="center"/>
    </xf>
    <xf numFmtId="0" fontId="25" fillId="4" borderId="19" xfId="3" applyFill="1" applyBorder="1" applyAlignment="1" applyProtection="1">
      <alignment horizontal="center"/>
    </xf>
    <xf numFmtId="0" fontId="25" fillId="4" borderId="26" xfId="3" applyFill="1" applyBorder="1" applyAlignment="1" applyProtection="1">
      <alignment horizontal="center"/>
    </xf>
    <xf numFmtId="0" fontId="25" fillId="4" borderId="9" xfId="3" applyFill="1" applyBorder="1" applyAlignment="1" applyProtection="1">
      <alignment horizontal="center"/>
    </xf>
    <xf numFmtId="0" fontId="25" fillId="4" borderId="27" xfId="3" applyFill="1" applyBorder="1" applyAlignment="1" applyProtection="1">
      <alignment horizontal="center"/>
    </xf>
    <xf numFmtId="0" fontId="25" fillId="4" borderId="11" xfId="3" applyFill="1" applyBorder="1" applyAlignment="1" applyProtection="1">
      <alignment horizontal="center"/>
    </xf>
    <xf numFmtId="0" fontId="4" fillId="4" borderId="23"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6" fillId="4" borderId="10" xfId="3" applyFont="1" applyFill="1" applyBorder="1" applyAlignment="1" applyProtection="1">
      <alignment horizontal="left" vertical="center" wrapText="1"/>
    </xf>
    <xf numFmtId="0" fontId="6" fillId="4" borderId="10" xfId="3" applyFont="1" applyFill="1" applyBorder="1" applyAlignment="1" applyProtection="1">
      <alignment horizontal="left" wrapText="1"/>
    </xf>
    <xf numFmtId="0" fontId="6" fillId="4" borderId="0" xfId="3" applyFont="1" applyFill="1" applyBorder="1" applyAlignment="1" applyProtection="1">
      <alignment horizontal="left" wrapText="1"/>
    </xf>
    <xf numFmtId="0" fontId="6" fillId="4" borderId="19" xfId="3" applyFont="1" applyFill="1" applyBorder="1" applyAlignment="1" applyProtection="1">
      <alignment horizontal="left" wrapText="1"/>
    </xf>
    <xf numFmtId="0" fontId="25" fillId="6" borderId="23" xfId="3" applyFill="1" applyBorder="1" applyAlignment="1" applyProtection="1">
      <alignment horizontal="center"/>
    </xf>
    <xf numFmtId="0" fontId="25" fillId="6" borderId="16" xfId="3" applyFill="1" applyBorder="1" applyAlignment="1" applyProtection="1">
      <alignment horizontal="center"/>
    </xf>
    <xf numFmtId="0" fontId="25" fillId="6" borderId="20" xfId="3" applyFill="1" applyBorder="1" applyAlignment="1" applyProtection="1">
      <alignment horizontal="center"/>
    </xf>
    <xf numFmtId="0" fontId="25" fillId="6" borderId="10" xfId="3" applyFill="1" applyBorder="1" applyAlignment="1" applyProtection="1">
      <alignment horizontal="center"/>
    </xf>
    <xf numFmtId="0" fontId="25" fillId="6" borderId="0" xfId="3" applyFill="1" applyBorder="1" applyAlignment="1" applyProtection="1">
      <alignment horizontal="center"/>
    </xf>
    <xf numFmtId="0" fontId="25" fillId="6" borderId="11" xfId="3" applyFill="1" applyBorder="1" applyAlignment="1" applyProtection="1">
      <alignment horizontal="center"/>
    </xf>
    <xf numFmtId="0" fontId="25" fillId="6" borderId="12" xfId="3" applyFill="1" applyBorder="1" applyAlignment="1" applyProtection="1">
      <alignment horizontal="center"/>
    </xf>
    <xf numFmtId="0" fontId="25" fillId="6" borderId="13" xfId="3" applyFill="1" applyBorder="1" applyAlignment="1" applyProtection="1">
      <alignment horizontal="center"/>
    </xf>
    <xf numFmtId="0" fontId="25" fillId="6" borderId="14" xfId="3" applyFill="1" applyBorder="1" applyAlignment="1" applyProtection="1">
      <alignment horizontal="center"/>
    </xf>
    <xf numFmtId="0" fontId="34" fillId="6" borderId="29" xfId="3" applyFont="1" applyFill="1" applyBorder="1" applyAlignment="1" applyProtection="1">
      <alignment horizontal="left"/>
    </xf>
    <xf numFmtId="0" fontId="34" fillId="6" borderId="25" xfId="3" applyFont="1" applyFill="1" applyBorder="1" applyAlignment="1" applyProtection="1">
      <alignment horizontal="left"/>
    </xf>
    <xf numFmtId="0" fontId="34" fillId="6" borderId="30" xfId="3" applyFont="1" applyFill="1" applyBorder="1" applyAlignment="1" applyProtection="1">
      <alignment horizontal="left"/>
    </xf>
    <xf numFmtId="0" fontId="3" fillId="6" borderId="24" xfId="3" applyFont="1" applyFill="1" applyBorder="1" applyAlignment="1" applyProtection="1">
      <alignment horizontal="left" vertical="center"/>
    </xf>
    <xf numFmtId="0" fontId="5" fillId="6" borderId="9" xfId="3" applyFont="1" applyFill="1" applyBorder="1" applyAlignment="1" applyProtection="1">
      <alignment horizontal="left" vertical="center"/>
    </xf>
    <xf numFmtId="0" fontId="5" fillId="6" borderId="28" xfId="3" applyFont="1" applyFill="1" applyBorder="1" applyAlignment="1" applyProtection="1">
      <alignment horizontal="left" vertical="center"/>
    </xf>
    <xf numFmtId="0" fontId="34" fillId="6" borderId="23" xfId="3" applyFont="1" applyFill="1" applyBorder="1" applyAlignment="1" applyProtection="1">
      <alignment horizontal="left" vertical="center" wrapText="1"/>
    </xf>
    <xf numFmtId="0" fontId="34" fillId="6" borderId="16" xfId="3" applyFont="1" applyFill="1" applyBorder="1" applyAlignment="1" applyProtection="1">
      <alignment horizontal="left" vertical="center" wrapText="1"/>
    </xf>
    <xf numFmtId="0" fontId="34" fillId="6" borderId="20" xfId="3" applyFont="1" applyFill="1" applyBorder="1" applyAlignment="1" applyProtection="1">
      <alignment horizontal="left" vertical="center" wrapText="1"/>
    </xf>
    <xf numFmtId="0" fontId="33" fillId="6" borderId="10" xfId="3" applyFont="1" applyFill="1" applyBorder="1" applyAlignment="1" applyProtection="1">
      <alignment horizontal="left" wrapText="1"/>
    </xf>
    <xf numFmtId="0" fontId="33" fillId="6" borderId="0" xfId="3" applyFont="1" applyFill="1" applyBorder="1" applyAlignment="1" applyProtection="1">
      <alignment horizontal="left" wrapText="1"/>
    </xf>
    <xf numFmtId="0" fontId="33" fillId="6" borderId="11" xfId="3" applyFont="1" applyFill="1" applyBorder="1" applyAlignment="1" applyProtection="1">
      <alignment horizontal="left" wrapText="1"/>
    </xf>
    <xf numFmtId="0" fontId="33" fillId="6" borderId="24" xfId="3" applyFont="1" applyFill="1" applyBorder="1" applyAlignment="1" applyProtection="1">
      <alignment horizontal="left" wrapText="1"/>
    </xf>
    <xf numFmtId="0" fontId="33" fillId="6" borderId="9" xfId="3" applyFont="1" applyFill="1" applyBorder="1" applyAlignment="1" applyProtection="1">
      <alignment horizontal="left" wrapText="1"/>
    </xf>
    <xf numFmtId="0" fontId="33" fillId="6" borderId="28" xfId="3" applyFont="1" applyFill="1" applyBorder="1" applyAlignment="1" applyProtection="1">
      <alignment horizontal="left" wrapText="1"/>
    </xf>
    <xf numFmtId="0" fontId="35" fillId="6" borderId="1" xfId="3" applyFont="1" applyFill="1" applyBorder="1" applyAlignment="1">
      <alignment horizontal="left" vertical="center"/>
    </xf>
    <xf numFmtId="0" fontId="35" fillId="5" borderId="1" xfId="3" applyFont="1" applyFill="1" applyBorder="1" applyAlignment="1" applyProtection="1">
      <alignment horizontal="center" vertical="center"/>
      <protection locked="0"/>
    </xf>
    <xf numFmtId="0" fontId="41" fillId="4" borderId="1" xfId="3" applyFont="1" applyFill="1" applyBorder="1" applyAlignment="1" applyProtection="1">
      <alignment horizontal="center"/>
      <protection locked="0"/>
    </xf>
    <xf numFmtId="0" fontId="35" fillId="6" borderId="9" xfId="3" applyFont="1" applyFill="1" applyBorder="1" applyAlignment="1">
      <alignment horizontal="left" vertical="center"/>
    </xf>
    <xf numFmtId="0" fontId="37" fillId="6" borderId="2" xfId="3" applyFont="1" applyFill="1" applyBorder="1" applyAlignment="1">
      <alignment horizontal="center" vertical="center" wrapText="1"/>
    </xf>
    <xf numFmtId="0" fontId="37" fillId="6" borderId="3" xfId="3" applyFont="1" applyFill="1" applyBorder="1" applyAlignment="1">
      <alignment horizontal="center" vertical="center" wrapText="1"/>
    </xf>
    <xf numFmtId="0" fontId="37" fillId="6" borderId="2" xfId="3" applyFont="1" applyFill="1" applyBorder="1" applyAlignment="1">
      <alignment horizontal="center" vertical="center"/>
    </xf>
    <xf numFmtId="0" fontId="37" fillId="6" borderId="3" xfId="3" applyFont="1" applyFill="1" applyBorder="1" applyAlignment="1">
      <alignment horizontal="center" vertical="center"/>
    </xf>
    <xf numFmtId="0" fontId="37" fillId="5" borderId="2" xfId="3" applyFont="1" applyFill="1" applyBorder="1" applyAlignment="1" applyProtection="1">
      <alignment horizontal="center" vertical="center" wrapText="1"/>
      <protection locked="0"/>
    </xf>
    <xf numFmtId="0" fontId="37" fillId="5" borderId="3" xfId="3" applyFont="1" applyFill="1" applyBorder="1" applyAlignment="1" applyProtection="1">
      <alignment horizontal="center" vertical="center" wrapText="1"/>
      <protection locked="0"/>
    </xf>
    <xf numFmtId="169" fontId="0" fillId="5" borderId="1" xfId="0" applyNumberFormat="1" applyFill="1" applyBorder="1" applyAlignment="1" applyProtection="1">
      <alignment horizontal="center" vertical="center"/>
      <protection locked="0"/>
    </xf>
    <xf numFmtId="0" fontId="36" fillId="6" borderId="1" xfId="0" applyFont="1" applyFill="1" applyBorder="1" applyAlignment="1">
      <alignment horizontal="left" vertical="center"/>
    </xf>
    <xf numFmtId="1" fontId="0" fillId="5" borderId="2" xfId="1" applyNumberFormat="1" applyFont="1" applyFill="1" applyBorder="1" applyAlignment="1" applyProtection="1">
      <alignment horizontal="center" vertical="center" wrapText="1"/>
      <protection locked="0"/>
    </xf>
    <xf numFmtId="1" fontId="0" fillId="5" borderId="5" xfId="1" applyNumberFormat="1" applyFont="1" applyFill="1" applyBorder="1" applyAlignment="1" applyProtection="1">
      <alignment horizontal="center" vertical="center" wrapText="1"/>
      <protection locked="0"/>
    </xf>
    <xf numFmtId="1" fontId="0" fillId="5" borderId="3" xfId="1" applyNumberFormat="1" applyFont="1" applyFill="1" applyBorder="1" applyAlignment="1" applyProtection="1">
      <alignment horizontal="center" vertical="center" wrapText="1"/>
      <protection locked="0"/>
    </xf>
    <xf numFmtId="0" fontId="0" fillId="6" borderId="2" xfId="0" applyFill="1" applyBorder="1" applyAlignment="1">
      <alignment horizontal="center" vertical="center"/>
    </xf>
    <xf numFmtId="0" fontId="0" fillId="6" borderId="5" xfId="0" applyFill="1" applyBorder="1" applyAlignment="1">
      <alignment horizontal="center" vertical="center"/>
    </xf>
    <xf numFmtId="0" fontId="0" fillId="6" borderId="3" xfId="0" applyFill="1" applyBorder="1" applyAlignment="1">
      <alignment horizontal="center" vertical="center"/>
    </xf>
    <xf numFmtId="169" fontId="0" fillId="5" borderId="2" xfId="0" applyNumberFormat="1" applyFill="1" applyBorder="1" applyAlignment="1" applyProtection="1">
      <alignment horizontal="center" vertical="center"/>
      <protection locked="0"/>
    </xf>
    <xf numFmtId="169" fontId="0" fillId="5" borderId="5" xfId="0" applyNumberFormat="1" applyFill="1" applyBorder="1" applyAlignment="1" applyProtection="1">
      <alignment horizontal="center" vertical="center"/>
      <protection locked="0"/>
    </xf>
    <xf numFmtId="169" fontId="0" fillId="5" borderId="3" xfId="0" applyNumberFormat="1" applyFill="1" applyBorder="1" applyAlignment="1" applyProtection="1">
      <alignment horizontal="center" vertical="center"/>
      <protection locked="0"/>
    </xf>
    <xf numFmtId="0" fontId="0" fillId="6" borderId="2" xfId="0" applyFill="1" applyBorder="1" applyAlignment="1">
      <alignment horizontal="center" vertical="center" wrapText="1"/>
    </xf>
    <xf numFmtId="0" fontId="0" fillId="6" borderId="5" xfId="0" applyFill="1" applyBorder="1" applyAlignment="1">
      <alignment horizontal="center" vertical="center" wrapText="1"/>
    </xf>
    <xf numFmtId="0" fontId="0" fillId="6" borderId="3" xfId="0" applyFill="1" applyBorder="1" applyAlignment="1">
      <alignment horizontal="center" vertical="center" wrapText="1"/>
    </xf>
    <xf numFmtId="0" fontId="36" fillId="6" borderId="7" xfId="0" applyFont="1" applyFill="1" applyBorder="1" applyAlignment="1">
      <alignment horizontal="left" vertical="center"/>
    </xf>
    <xf numFmtId="0" fontId="36" fillId="6" borderId="4" xfId="0" applyFont="1" applyFill="1" applyBorder="1" applyAlignment="1">
      <alignment horizontal="left" vertical="center"/>
    </xf>
    <xf numFmtId="0" fontId="36" fillId="6" borderId="8" xfId="0" applyFont="1" applyFill="1" applyBorder="1" applyAlignment="1">
      <alignment horizontal="left" vertical="center"/>
    </xf>
    <xf numFmtId="0" fontId="0" fillId="2" borderId="1" xfId="0" applyFill="1" applyBorder="1" applyAlignment="1">
      <alignment horizontal="left"/>
    </xf>
    <xf numFmtId="0" fontId="1" fillId="6" borderId="21" xfId="3" applyFont="1" applyFill="1" applyBorder="1" applyAlignment="1" applyProtection="1">
      <alignment horizontal="center" vertical="center"/>
    </xf>
  </cellXfs>
  <cellStyles count="10">
    <cellStyle name="Cálculo" xfId="2" builtinId="22"/>
    <cellStyle name="Comma 2" xfId="5" xr:uid="{00000000-0005-0000-0000-000001000000}"/>
    <cellStyle name="Currency 2" xfId="4" xr:uid="{00000000-0005-0000-0000-000003000000}"/>
    <cellStyle name="Hiperligação" xfId="9" builtinId="8"/>
    <cellStyle name="Moeda" xfId="7" builtinId="4"/>
    <cellStyle name="Normal" xfId="0" builtinId="0"/>
    <cellStyle name="Normal 2" xfId="3" xr:uid="{00000000-0005-0000-0000-000007000000}"/>
    <cellStyle name="Percent 2" xfId="6" xr:uid="{00000000-0005-0000-0000-000009000000}"/>
    <cellStyle name="Percentagem" xfId="1" builtinId="5"/>
    <cellStyle name="Texto Explicativo" xfId="8" builtinId="53"/>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0000000-0011-0000-FFFF-FFFF00000000}"/>
  </tableStyles>
  <colors>
    <mruColors>
      <color rgb="FFFF8B8B"/>
      <color rgb="FF76AB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Input Econ&#243;mico-financeiro'!A1"/><Relationship Id="rId7" Type="http://schemas.openxmlformats.org/officeDocument/2006/relationships/image" Target="../media/image2.jpeg"/><Relationship Id="rId2" Type="http://schemas.openxmlformats.org/officeDocument/2006/relationships/hyperlink" Target="#Auxilar!A1"/><Relationship Id="rId1" Type="http://schemas.openxmlformats.org/officeDocument/2006/relationships/hyperlink" Target="#'Input T&#233;cnico'!A1"/><Relationship Id="rId6" Type="http://schemas.openxmlformats.org/officeDocument/2006/relationships/image" Target="../media/image1.png"/><Relationship Id="rId5" Type="http://schemas.openxmlformats.org/officeDocument/2006/relationships/hyperlink" Target="#'Fluxo de Caixa'!A1"/><Relationship Id="rId4" Type="http://schemas.openxmlformats.org/officeDocument/2006/relationships/hyperlink" Target="#'Apoio &#224; Decis&#227;o'!A1"/></Relationships>
</file>

<file path=xl/drawings/drawing1.xml><?xml version="1.0" encoding="utf-8"?>
<xdr:wsDr xmlns:xdr="http://schemas.openxmlformats.org/drawingml/2006/spreadsheetDrawing" xmlns:a="http://schemas.openxmlformats.org/drawingml/2006/main">
  <xdr:twoCellAnchor>
    <xdr:from>
      <xdr:col>11</xdr:col>
      <xdr:colOff>266700</xdr:colOff>
      <xdr:row>15</xdr:row>
      <xdr:rowOff>66675</xdr:rowOff>
    </xdr:from>
    <xdr:to>
      <xdr:col>18</xdr:col>
      <xdr:colOff>339724</xdr:colOff>
      <xdr:row>32</xdr:row>
      <xdr:rowOff>13968</xdr:rowOff>
    </xdr:to>
    <xdr:grpSp>
      <xdr:nvGrpSpPr>
        <xdr:cNvPr id="18" name="Agrupar 17">
          <a:extLst>
            <a:ext uri="{FF2B5EF4-FFF2-40B4-BE49-F238E27FC236}">
              <a16:creationId xmlns:a16="http://schemas.microsoft.com/office/drawing/2014/main" id="{05658E5B-B8F0-47D1-82EE-E535FFDA20D7}"/>
            </a:ext>
            <a:ext uri="{C183D7F6-B498-43B3-948B-1728B52AA6E4}">
              <adec:decorative xmlns:adec="http://schemas.microsoft.com/office/drawing/2017/decorative" val="1"/>
            </a:ext>
          </a:extLst>
        </xdr:cNvPr>
        <xdr:cNvGrpSpPr/>
      </xdr:nvGrpSpPr>
      <xdr:grpSpPr>
        <a:xfrm>
          <a:off x="6972300" y="3067050"/>
          <a:ext cx="4340224" cy="3185793"/>
          <a:chOff x="6915150" y="3019425"/>
          <a:chExt cx="4340224" cy="3185793"/>
        </a:xfrm>
      </xdr:grpSpPr>
      <xdr:grpSp>
        <xdr:nvGrpSpPr>
          <xdr:cNvPr id="17" name="Agrupar 16">
            <a:extLst>
              <a:ext uri="{FF2B5EF4-FFF2-40B4-BE49-F238E27FC236}">
                <a16:creationId xmlns:a16="http://schemas.microsoft.com/office/drawing/2014/main" id="{0079B592-97FD-45DC-95BE-C129E1808AF3}"/>
              </a:ext>
            </a:extLst>
          </xdr:cNvPr>
          <xdr:cNvGrpSpPr/>
        </xdr:nvGrpSpPr>
        <xdr:grpSpPr>
          <a:xfrm>
            <a:off x="6915150" y="3019425"/>
            <a:ext cx="4340224" cy="3185793"/>
            <a:chOff x="6915150" y="3019425"/>
            <a:chExt cx="4340224" cy="3185793"/>
          </a:xfrm>
        </xdr:grpSpPr>
        <xdr:grpSp>
          <xdr:nvGrpSpPr>
            <xdr:cNvPr id="2" name="Agrupar 1">
              <a:extLst>
                <a:ext uri="{FF2B5EF4-FFF2-40B4-BE49-F238E27FC236}">
                  <a16:creationId xmlns:a16="http://schemas.microsoft.com/office/drawing/2014/main" id="{996CBF9B-D86C-48C9-BBCA-D86ECB5F6295}"/>
                </a:ext>
              </a:extLst>
            </xdr:cNvPr>
            <xdr:cNvGrpSpPr/>
          </xdr:nvGrpSpPr>
          <xdr:grpSpPr>
            <a:xfrm>
              <a:off x="6915150" y="3019425"/>
              <a:ext cx="4340224" cy="3185793"/>
              <a:chOff x="0" y="0"/>
              <a:chExt cx="4340657" cy="3030643"/>
            </a:xfrm>
          </xdr:grpSpPr>
          <xdr:sp macro="" textlink="">
            <xdr:nvSpPr>
              <xdr:cNvPr id="3" name="Caixa de texto 5">
                <a:hlinkClick xmlns:r="http://schemas.openxmlformats.org/officeDocument/2006/relationships" r:id="rId1"/>
                <a:extLst>
                  <a:ext uri="{FF2B5EF4-FFF2-40B4-BE49-F238E27FC236}">
                    <a16:creationId xmlns:a16="http://schemas.microsoft.com/office/drawing/2014/main" id="{3239DCAC-10D8-4B71-AB3F-1B28D66F417C}"/>
                  </a:ext>
                </a:extLst>
              </xdr:cNvPr>
              <xdr:cNvSpPr txBox="1"/>
            </xdr:nvSpPr>
            <xdr:spPr>
              <a:xfrm>
                <a:off x="0" y="0"/>
                <a:ext cx="1714500" cy="276225"/>
              </a:xfrm>
              <a:prstGeom prst="rect">
                <a:avLst/>
              </a:prstGeom>
              <a:solidFill>
                <a:schemeClr val="accent5">
                  <a:lumMod val="60000"/>
                  <a:lumOff val="40000"/>
                </a:schemeClr>
              </a:solidFill>
              <a:ln w="19050">
                <a:solidFill>
                  <a:schemeClr val="tx1"/>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6000"/>
                  </a:lnSpc>
                  <a:spcAft>
                    <a:spcPts val="800"/>
                  </a:spcAft>
                </a:pPr>
                <a:r>
                  <a:rPr lang="pt-PT" sz="1000" b="1">
                    <a:effectLst/>
                    <a:latin typeface="Arial" panose="020B0604020202020204" pitchFamily="34" charset="0"/>
                    <a:ea typeface="Calibri" panose="020F0502020204030204" pitchFamily="34" charset="0"/>
                    <a:cs typeface="Times New Roman" panose="02020603050405020304" pitchFamily="18" charset="0"/>
                  </a:rPr>
                  <a:t>Folha 4 – Input Técnico</a:t>
                </a:r>
                <a:endParaRPr lang="pt-PT"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 name="Caixa de texto 7">
                <a:hlinkClick xmlns:r="http://schemas.openxmlformats.org/officeDocument/2006/relationships" r:id="rId2"/>
                <a:extLst>
                  <a:ext uri="{FF2B5EF4-FFF2-40B4-BE49-F238E27FC236}">
                    <a16:creationId xmlns:a16="http://schemas.microsoft.com/office/drawing/2014/main" id="{D41A9C4B-D672-4904-A696-9A671BA16931}"/>
                  </a:ext>
                </a:extLst>
              </xdr:cNvPr>
              <xdr:cNvSpPr txBox="1"/>
            </xdr:nvSpPr>
            <xdr:spPr>
              <a:xfrm>
                <a:off x="2626157" y="0"/>
                <a:ext cx="1714500" cy="276225"/>
              </a:xfrm>
              <a:prstGeom prst="rect">
                <a:avLst/>
              </a:prstGeom>
              <a:solidFill>
                <a:schemeClr val="accent5">
                  <a:lumMod val="60000"/>
                  <a:lumOff val="40000"/>
                </a:schemeClr>
              </a:solidFill>
              <a:ln w="19050">
                <a:solidFill>
                  <a:schemeClr val="tx1"/>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6000"/>
                  </a:lnSpc>
                  <a:spcAft>
                    <a:spcPts val="800"/>
                  </a:spcAft>
                </a:pPr>
                <a:r>
                  <a:rPr lang="pt-PT" sz="1000" b="1">
                    <a:effectLst/>
                    <a:latin typeface="Arial" panose="020B0604020202020204" pitchFamily="34" charset="0"/>
                    <a:ea typeface="Calibri" panose="020F0502020204030204" pitchFamily="34" charset="0"/>
                    <a:cs typeface="Times New Roman" panose="02020603050405020304" pitchFamily="18" charset="0"/>
                  </a:rPr>
                  <a:t>Folha 5 – Auxiliar</a:t>
                </a:r>
                <a:endParaRPr lang="pt-PT"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5" name="Agrupar 4">
                <a:extLst>
                  <a:ext uri="{FF2B5EF4-FFF2-40B4-BE49-F238E27FC236}">
                    <a16:creationId xmlns:a16="http://schemas.microsoft.com/office/drawing/2014/main" id="{4B5D2181-1452-4EA4-B655-3EB852EED16A}"/>
                  </a:ext>
                </a:extLst>
              </xdr:cNvPr>
              <xdr:cNvGrpSpPr/>
            </xdr:nvGrpSpPr>
            <xdr:grpSpPr>
              <a:xfrm>
                <a:off x="1786434" y="54254"/>
                <a:ext cx="720089" cy="152021"/>
                <a:chOff x="1" y="0"/>
                <a:chExt cx="720472" cy="152021"/>
              </a:xfrm>
            </xdr:grpSpPr>
            <xdr:cxnSp macro="">
              <xdr:nvCxnSpPr>
                <xdr:cNvPr id="13" name="Conexão reta unidirecional 12">
                  <a:extLst>
                    <a:ext uri="{FF2B5EF4-FFF2-40B4-BE49-F238E27FC236}">
                      <a16:creationId xmlns:a16="http://schemas.microsoft.com/office/drawing/2014/main" id="{475B5DCA-B435-4E56-B922-1985A015FA2F}"/>
                    </a:ext>
                  </a:extLst>
                </xdr:cNvPr>
                <xdr:cNvCxnSpPr/>
              </xdr:nvCxnSpPr>
              <xdr:spPr>
                <a:xfrm>
                  <a:off x="473" y="0"/>
                  <a:ext cx="720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Conexão reta unidirecional 13">
                  <a:extLst>
                    <a:ext uri="{FF2B5EF4-FFF2-40B4-BE49-F238E27FC236}">
                      <a16:creationId xmlns:a16="http://schemas.microsoft.com/office/drawing/2014/main" id="{442FC36F-3F25-41EC-8830-CBA403DBFEFA}"/>
                    </a:ext>
                  </a:extLst>
                </xdr:cNvPr>
                <xdr:cNvCxnSpPr/>
              </xdr:nvCxnSpPr>
              <xdr:spPr>
                <a:xfrm flipH="1">
                  <a:off x="1" y="152021"/>
                  <a:ext cx="720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6" name="Caixa de texto 13">
                <a:hlinkClick xmlns:r="http://schemas.openxmlformats.org/officeDocument/2006/relationships" r:id="rId3"/>
                <a:extLst>
                  <a:ext uri="{FF2B5EF4-FFF2-40B4-BE49-F238E27FC236}">
                    <a16:creationId xmlns:a16="http://schemas.microsoft.com/office/drawing/2014/main" id="{9A3DADCD-FCAA-47EB-9699-6F4633B67F27}"/>
                  </a:ext>
                </a:extLst>
              </xdr:cNvPr>
              <xdr:cNvSpPr txBox="1"/>
            </xdr:nvSpPr>
            <xdr:spPr>
              <a:xfrm>
                <a:off x="826618" y="1199693"/>
                <a:ext cx="2645410" cy="276225"/>
              </a:xfrm>
              <a:prstGeom prst="rect">
                <a:avLst/>
              </a:prstGeom>
              <a:solidFill>
                <a:schemeClr val="accent5">
                  <a:lumMod val="60000"/>
                  <a:lumOff val="40000"/>
                </a:schemeClr>
              </a:solidFill>
              <a:ln w="19050">
                <a:solidFill>
                  <a:schemeClr val="tx1"/>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6000"/>
                  </a:lnSpc>
                  <a:spcAft>
                    <a:spcPts val="800"/>
                  </a:spcAft>
                </a:pPr>
                <a:r>
                  <a:rPr lang="pt-PT" sz="1000" b="1">
                    <a:effectLst/>
                    <a:latin typeface="Arial" panose="020B0604020202020204" pitchFamily="34" charset="0"/>
                    <a:ea typeface="Calibri" panose="020F0502020204030204" pitchFamily="34" charset="0"/>
                    <a:cs typeface="Times New Roman" panose="02020603050405020304" pitchFamily="18" charset="0"/>
                  </a:rPr>
                  <a:t>Folha 3 – Input Económico-financeiro</a:t>
                </a:r>
                <a:endParaRPr lang="pt-PT"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Caixa de texto 14">
                <a:hlinkClick xmlns:r="http://schemas.openxmlformats.org/officeDocument/2006/relationships" r:id="rId4"/>
                <a:extLst>
                  <a:ext uri="{FF2B5EF4-FFF2-40B4-BE49-F238E27FC236}">
                    <a16:creationId xmlns:a16="http://schemas.microsoft.com/office/drawing/2014/main" id="{6B03DC83-7C57-4D36-BBC0-FAC168DAB87F}"/>
                  </a:ext>
                </a:extLst>
              </xdr:cNvPr>
              <xdr:cNvSpPr txBox="1"/>
            </xdr:nvSpPr>
            <xdr:spPr>
              <a:xfrm>
                <a:off x="855876" y="2754418"/>
                <a:ext cx="2646000" cy="276225"/>
              </a:xfrm>
              <a:prstGeom prst="rect">
                <a:avLst/>
              </a:prstGeom>
              <a:solidFill>
                <a:schemeClr val="accent5">
                  <a:lumMod val="60000"/>
                  <a:lumOff val="40000"/>
                </a:schemeClr>
              </a:solidFill>
              <a:ln w="19050">
                <a:solidFill>
                  <a:schemeClr val="tx1"/>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6000"/>
                  </a:lnSpc>
                  <a:spcAft>
                    <a:spcPts val="800"/>
                  </a:spcAft>
                </a:pPr>
                <a:r>
                  <a:rPr lang="pt-PT" sz="1000" b="1">
                    <a:effectLst/>
                    <a:latin typeface="Arial" panose="020B0604020202020204" pitchFamily="34" charset="0"/>
                    <a:ea typeface="Calibri" panose="020F0502020204030204" pitchFamily="34" charset="0"/>
                    <a:cs typeface="Times New Roman" panose="02020603050405020304" pitchFamily="18" charset="0"/>
                  </a:rPr>
                  <a:t>Folha 1 – Apoio à Decisão</a:t>
                </a:r>
                <a:endParaRPr lang="pt-PT"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8" name="Conexão reta 7">
                <a:extLst>
                  <a:ext uri="{FF2B5EF4-FFF2-40B4-BE49-F238E27FC236}">
                    <a16:creationId xmlns:a16="http://schemas.microsoft.com/office/drawing/2014/main" id="{1AA2A06D-4BE2-40BD-B182-BDE93CC9AEEC}"/>
                  </a:ext>
                </a:extLst>
              </xdr:cNvPr>
              <xdr:cNvCxnSpPr/>
            </xdr:nvCxnSpPr>
            <xdr:spPr>
              <a:xfrm>
                <a:off x="855879" y="277978"/>
                <a:ext cx="0" cy="50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exão reta 8">
                <a:extLst>
                  <a:ext uri="{FF2B5EF4-FFF2-40B4-BE49-F238E27FC236}">
                    <a16:creationId xmlns:a16="http://schemas.microsoft.com/office/drawing/2014/main" id="{A25A0B3C-EE12-4D06-82F2-2CF907CE245E}"/>
                  </a:ext>
                </a:extLst>
              </xdr:cNvPr>
              <xdr:cNvCxnSpPr/>
            </xdr:nvCxnSpPr>
            <xdr:spPr>
              <a:xfrm>
                <a:off x="3482036" y="277978"/>
                <a:ext cx="0" cy="50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exão reta 9">
                <a:extLst>
                  <a:ext uri="{FF2B5EF4-FFF2-40B4-BE49-F238E27FC236}">
                    <a16:creationId xmlns:a16="http://schemas.microsoft.com/office/drawing/2014/main" id="{1E3DFB16-8406-4148-9B45-2B6D411F4CCD}"/>
                  </a:ext>
                </a:extLst>
              </xdr:cNvPr>
              <xdr:cNvCxnSpPr/>
            </xdr:nvCxnSpPr>
            <xdr:spPr>
              <a:xfrm>
                <a:off x="850042" y="773984"/>
                <a:ext cx="2646000" cy="10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exão reta unidirecional 10">
                <a:extLst>
                  <a:ext uri="{FF2B5EF4-FFF2-40B4-BE49-F238E27FC236}">
                    <a16:creationId xmlns:a16="http://schemas.microsoft.com/office/drawing/2014/main" id="{837AC85A-C74A-4043-B8D4-2EBED61FCE09}"/>
                  </a:ext>
                </a:extLst>
              </xdr:cNvPr>
              <xdr:cNvCxnSpPr/>
            </xdr:nvCxnSpPr>
            <xdr:spPr>
              <a:xfrm>
                <a:off x="2151231" y="780057"/>
                <a:ext cx="0" cy="360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Conexão reta unidirecional 11">
                <a:extLst>
                  <a:ext uri="{FF2B5EF4-FFF2-40B4-BE49-F238E27FC236}">
                    <a16:creationId xmlns:a16="http://schemas.microsoft.com/office/drawing/2014/main" id="{37BDB3CE-C592-4845-A6FF-DCFFDB73CD03}"/>
                  </a:ext>
                </a:extLst>
              </xdr:cNvPr>
              <xdr:cNvCxnSpPr/>
            </xdr:nvCxnSpPr>
            <xdr:spPr>
              <a:xfrm>
                <a:off x="2151232" y="1526207"/>
                <a:ext cx="0" cy="360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16" name="Conexão reta unidirecional 15">
              <a:extLst>
                <a:ext uri="{FF2B5EF4-FFF2-40B4-BE49-F238E27FC236}">
                  <a16:creationId xmlns:a16="http://schemas.microsoft.com/office/drawing/2014/main" id="{494961CA-B8BB-493B-B645-CAA726357DE5}"/>
                </a:ext>
              </a:extLst>
            </xdr:cNvPr>
            <xdr:cNvCxnSpPr/>
          </xdr:nvCxnSpPr>
          <xdr:spPr>
            <a:xfrm>
              <a:off x="9067800" y="5467350"/>
              <a:ext cx="0" cy="3784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5" name="Caixa de texto 1">
            <a:hlinkClick xmlns:r="http://schemas.openxmlformats.org/officeDocument/2006/relationships" r:id="rId5"/>
            <a:extLst>
              <a:ext uri="{FF2B5EF4-FFF2-40B4-BE49-F238E27FC236}">
                <a16:creationId xmlns:a16="http://schemas.microsoft.com/office/drawing/2014/main" id="{2F81D5B3-47A2-4D24-ABDA-024EA2A374A3}"/>
              </a:ext>
            </a:extLst>
          </xdr:cNvPr>
          <xdr:cNvSpPr txBox="1"/>
        </xdr:nvSpPr>
        <xdr:spPr>
          <a:xfrm>
            <a:off x="7743825" y="5095875"/>
            <a:ext cx="2645410" cy="290195"/>
          </a:xfrm>
          <a:prstGeom prst="rect">
            <a:avLst/>
          </a:prstGeom>
          <a:solidFill>
            <a:schemeClr val="accent5">
              <a:lumMod val="60000"/>
              <a:lumOff val="40000"/>
              <a:alpha val="50000"/>
            </a:schemeClr>
          </a:solidFill>
          <a:ln w="19050">
            <a:solidFill>
              <a:schemeClr val="tx1">
                <a:alpha val="50000"/>
              </a:schemeClr>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6000"/>
              </a:lnSpc>
              <a:spcAft>
                <a:spcPts val="800"/>
              </a:spcAft>
            </a:pPr>
            <a:r>
              <a:rPr lang="pt-PT" sz="1000" b="1">
                <a:solidFill>
                  <a:srgbClr val="A5A5A5"/>
                </a:solidFill>
                <a:effectLst/>
                <a:latin typeface="Arial" panose="020B0604020202020204" pitchFamily="34" charset="0"/>
                <a:ea typeface="Calibri" panose="020F0502020204030204" pitchFamily="34" charset="0"/>
                <a:cs typeface="Times New Roman" panose="02020603050405020304" pitchFamily="18" charset="0"/>
              </a:rPr>
              <a:t>Folha 2 – Fluxo de Caixa</a:t>
            </a:r>
            <a:endParaRPr lang="pt-PT"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571500</xdr:colOff>
      <xdr:row>43</xdr:row>
      <xdr:rowOff>57150</xdr:rowOff>
    </xdr:from>
    <xdr:to>
      <xdr:col>13</xdr:col>
      <xdr:colOff>381000</xdr:colOff>
      <xdr:row>47</xdr:row>
      <xdr:rowOff>85725</xdr:rowOff>
    </xdr:to>
    <xdr:pic>
      <xdr:nvPicPr>
        <xdr:cNvPr id="19" name="image1.png" descr="Resultado de imagem para nova id fct">
          <a:extLst>
            <a:ext uri="{FF2B5EF4-FFF2-40B4-BE49-F238E27FC236}">
              <a16:creationId xmlns:a16="http://schemas.microsoft.com/office/drawing/2014/main" id="{E15A66FF-3BDC-4002-8AE3-E3BA75C4BD3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67500" y="8772525"/>
          <a:ext cx="163830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219075</xdr:colOff>
      <xdr:row>44</xdr:row>
      <xdr:rowOff>28575</xdr:rowOff>
    </xdr:from>
    <xdr:to>
      <xdr:col>19</xdr:col>
      <xdr:colOff>228600</xdr:colOff>
      <xdr:row>47</xdr:row>
      <xdr:rowOff>66675</xdr:rowOff>
    </xdr:to>
    <xdr:pic>
      <xdr:nvPicPr>
        <xdr:cNvPr id="20" name="Imagem 21" descr="Fundo Ambiental | Câmara Municipal de Cascais">
          <a:extLst>
            <a:ext uri="{FF2B5EF4-FFF2-40B4-BE49-F238E27FC236}">
              <a16:creationId xmlns:a16="http://schemas.microsoft.com/office/drawing/2014/main" id="{105FBB90-B809-4158-A792-FE7BBF14F1F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3042" t="26437" r="13625" b="24130"/>
        <a:stretch>
          <a:fillRect/>
        </a:stretch>
      </xdr:blipFill>
      <xdr:spPr bwMode="auto">
        <a:xfrm>
          <a:off x="9972675" y="8934450"/>
          <a:ext cx="18383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504825</xdr:colOff>
      <xdr:row>43</xdr:row>
      <xdr:rowOff>133350</xdr:rowOff>
    </xdr:from>
    <xdr:to>
      <xdr:col>16</xdr:col>
      <xdr:colOff>19050</xdr:colOff>
      <xdr:row>47</xdr:row>
      <xdr:rowOff>95250</xdr:rowOff>
    </xdr:to>
    <xdr:pic>
      <xdr:nvPicPr>
        <xdr:cNvPr id="21" name="Imagem 6" descr="MARE - Centro de Ciências do Mar e do Ambiente | MARE STARTUP">
          <a:extLst>
            <a:ext uri="{FF2B5EF4-FFF2-40B4-BE49-F238E27FC236}">
              <a16:creationId xmlns:a16="http://schemas.microsoft.com/office/drawing/2014/main" id="{2A1A4310-2F39-464C-80D5-C2077EC12B64}"/>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429625" y="8848725"/>
          <a:ext cx="13430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8"/>
  <sheetViews>
    <sheetView showGridLines="0" tabSelected="1" zoomScaleNormal="100" workbookViewId="0">
      <selection sqref="A1:AC1"/>
    </sheetView>
  </sheetViews>
  <sheetFormatPr defaultColWidth="9.140625" defaultRowHeight="15" x14ac:dyDescent="0.25"/>
  <cols>
    <col min="1" max="29" width="9.140625" style="269"/>
    <col min="30" max="16384" width="9.140625" style="99"/>
  </cols>
  <sheetData>
    <row r="1" spans="1:29" ht="18.75" x14ac:dyDescent="0.25">
      <c r="A1" s="294" t="s">
        <v>702</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6"/>
    </row>
    <row r="2" spans="1:29" ht="18.75" x14ac:dyDescent="0.25">
      <c r="A2" s="297" t="s">
        <v>658</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9"/>
    </row>
    <row r="3" spans="1:29" ht="15" customHeight="1" x14ac:dyDescent="0.25">
      <c r="A3" s="300" t="s">
        <v>694</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2"/>
    </row>
    <row r="4" spans="1:29" x14ac:dyDescent="0.25">
      <c r="A4" s="303"/>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2"/>
    </row>
    <row r="5" spans="1:29" x14ac:dyDescent="0.25">
      <c r="A5" s="303"/>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2"/>
    </row>
    <row r="6" spans="1:29" ht="18.75" x14ac:dyDescent="0.25">
      <c r="A6" s="297" t="s">
        <v>659</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9"/>
    </row>
    <row r="7" spans="1:29" x14ac:dyDescent="0.25">
      <c r="A7" s="300" t="s">
        <v>700</v>
      </c>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2"/>
    </row>
    <row r="8" spans="1:29" x14ac:dyDescent="0.25">
      <c r="A8" s="303"/>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2"/>
    </row>
    <row r="9" spans="1:29" x14ac:dyDescent="0.25">
      <c r="A9" s="303"/>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2"/>
    </row>
    <row r="10" spans="1:29" x14ac:dyDescent="0.25">
      <c r="A10" s="304" t="s">
        <v>660</v>
      </c>
      <c r="B10" s="305"/>
      <c r="C10" s="305"/>
      <c r="D10" s="305"/>
      <c r="E10" s="305"/>
      <c r="F10" s="305"/>
      <c r="G10" s="305"/>
      <c r="H10" s="308" t="s">
        <v>661</v>
      </c>
      <c r="I10" s="308"/>
      <c r="J10" s="308"/>
      <c r="K10" s="308"/>
      <c r="L10" s="308"/>
      <c r="M10" s="308"/>
      <c r="N10" s="308"/>
      <c r="O10" s="308"/>
      <c r="P10" s="308"/>
      <c r="Q10" s="308"/>
      <c r="R10" s="308"/>
      <c r="S10" s="308"/>
      <c r="T10" s="308"/>
      <c r="U10" s="308"/>
      <c r="V10" s="308"/>
      <c r="W10" s="308"/>
      <c r="X10" s="308" t="s">
        <v>662</v>
      </c>
      <c r="Y10" s="308"/>
      <c r="Z10" s="308"/>
      <c r="AA10" s="308"/>
      <c r="AB10" s="308"/>
      <c r="AC10" s="309"/>
    </row>
    <row r="11" spans="1:29" x14ac:dyDescent="0.25">
      <c r="A11" s="306"/>
      <c r="B11" s="307"/>
      <c r="C11" s="307"/>
      <c r="D11" s="307"/>
      <c r="E11" s="307"/>
      <c r="F11" s="307"/>
      <c r="G11" s="307"/>
      <c r="H11" s="308"/>
      <c r="I11" s="308"/>
      <c r="J11" s="308"/>
      <c r="K11" s="308"/>
      <c r="L11" s="308"/>
      <c r="M11" s="308"/>
      <c r="N11" s="308"/>
      <c r="O11" s="308"/>
      <c r="P11" s="308"/>
      <c r="Q11" s="308"/>
      <c r="R11" s="308"/>
      <c r="S11" s="308"/>
      <c r="T11" s="308"/>
      <c r="U11" s="308"/>
      <c r="V11" s="308"/>
      <c r="W11" s="308"/>
      <c r="X11" s="308"/>
      <c r="Y11" s="308"/>
      <c r="Z11" s="308"/>
      <c r="AA11" s="308"/>
      <c r="AB11" s="308"/>
      <c r="AC11" s="309"/>
    </row>
    <row r="12" spans="1:29" ht="15" customHeight="1" x14ac:dyDescent="0.25">
      <c r="A12" s="329" t="s">
        <v>698</v>
      </c>
      <c r="B12" s="311"/>
      <c r="C12" s="311"/>
      <c r="D12" s="311"/>
      <c r="E12" s="311"/>
      <c r="F12" s="311"/>
      <c r="G12" s="320"/>
      <c r="H12" s="319" t="s">
        <v>697</v>
      </c>
      <c r="I12" s="311"/>
      <c r="J12" s="311"/>
      <c r="K12" s="311"/>
      <c r="L12" s="311"/>
      <c r="M12" s="311"/>
      <c r="N12" s="311"/>
      <c r="O12" s="311"/>
      <c r="P12" s="311"/>
      <c r="Q12" s="311"/>
      <c r="R12" s="311"/>
      <c r="S12" s="311"/>
      <c r="T12" s="311"/>
      <c r="U12" s="311"/>
      <c r="V12" s="311"/>
      <c r="W12" s="320"/>
      <c r="X12" s="310" t="s">
        <v>671</v>
      </c>
      <c r="Y12" s="311"/>
      <c r="Z12" s="311"/>
      <c r="AA12" s="311"/>
      <c r="AB12" s="311"/>
      <c r="AC12" s="312"/>
    </row>
    <row r="13" spans="1:29" x14ac:dyDescent="0.25">
      <c r="A13" s="330"/>
      <c r="B13" s="314"/>
      <c r="C13" s="314"/>
      <c r="D13" s="314"/>
      <c r="E13" s="314"/>
      <c r="F13" s="314"/>
      <c r="G13" s="321"/>
      <c r="H13" s="313"/>
      <c r="I13" s="314"/>
      <c r="J13" s="314"/>
      <c r="K13" s="314"/>
      <c r="L13" s="314"/>
      <c r="M13" s="314"/>
      <c r="N13" s="314"/>
      <c r="O13" s="314"/>
      <c r="P13" s="314"/>
      <c r="Q13" s="314"/>
      <c r="R13" s="314"/>
      <c r="S13" s="314"/>
      <c r="T13" s="314"/>
      <c r="U13" s="314"/>
      <c r="V13" s="314"/>
      <c r="W13" s="321"/>
      <c r="X13" s="313"/>
      <c r="Y13" s="314"/>
      <c r="Z13" s="314"/>
      <c r="AA13" s="314"/>
      <c r="AB13" s="314"/>
      <c r="AC13" s="315"/>
    </row>
    <row r="14" spans="1:29" ht="15" customHeight="1" x14ac:dyDescent="0.25">
      <c r="A14" s="258" t="s">
        <v>670</v>
      </c>
      <c r="B14" s="259"/>
      <c r="C14" s="259"/>
      <c r="D14" s="259"/>
      <c r="E14" s="259"/>
      <c r="F14" s="259"/>
      <c r="G14" s="260"/>
      <c r="H14" s="313"/>
      <c r="I14" s="314"/>
      <c r="J14" s="314"/>
      <c r="K14" s="314"/>
      <c r="L14" s="314"/>
      <c r="M14" s="314"/>
      <c r="N14" s="314"/>
      <c r="O14" s="314"/>
      <c r="P14" s="314"/>
      <c r="Q14" s="314"/>
      <c r="R14" s="314"/>
      <c r="S14" s="314"/>
      <c r="T14" s="314"/>
      <c r="U14" s="314"/>
      <c r="V14" s="314"/>
      <c r="W14" s="321"/>
      <c r="X14" s="316" t="s">
        <v>695</v>
      </c>
      <c r="Y14" s="314"/>
      <c r="Z14" s="314"/>
      <c r="AA14" s="314"/>
      <c r="AB14" s="314"/>
      <c r="AC14" s="315"/>
    </row>
    <row r="15" spans="1:29" x14ac:dyDescent="0.25">
      <c r="A15" s="330" t="s">
        <v>668</v>
      </c>
      <c r="B15" s="314"/>
      <c r="C15" s="314"/>
      <c r="D15" s="314"/>
      <c r="E15" s="314"/>
      <c r="F15" s="314"/>
      <c r="G15" s="321"/>
      <c r="H15" s="322"/>
      <c r="I15" s="323"/>
      <c r="J15" s="323"/>
      <c r="K15" s="323"/>
      <c r="L15" s="323"/>
      <c r="M15" s="323"/>
      <c r="N15" s="323"/>
      <c r="O15" s="323"/>
      <c r="P15" s="323"/>
      <c r="Q15" s="323"/>
      <c r="R15" s="323"/>
      <c r="S15" s="323"/>
      <c r="T15" s="323"/>
      <c r="U15" s="323"/>
      <c r="V15" s="323"/>
      <c r="W15" s="324"/>
      <c r="X15" s="313"/>
      <c r="Y15" s="314"/>
      <c r="Z15" s="314"/>
      <c r="AA15" s="314"/>
      <c r="AB15" s="314"/>
      <c r="AC15" s="315"/>
    </row>
    <row r="16" spans="1:29" x14ac:dyDescent="0.25">
      <c r="A16" s="330"/>
      <c r="B16" s="314"/>
      <c r="C16" s="314"/>
      <c r="D16" s="314"/>
      <c r="E16" s="314"/>
      <c r="F16" s="314"/>
      <c r="G16" s="321"/>
      <c r="H16" s="322"/>
      <c r="I16" s="323"/>
      <c r="J16" s="323"/>
      <c r="K16" s="323"/>
      <c r="L16" s="323"/>
      <c r="M16" s="323"/>
      <c r="N16" s="323"/>
      <c r="O16" s="323"/>
      <c r="P16" s="323"/>
      <c r="Q16" s="323"/>
      <c r="R16" s="323"/>
      <c r="S16" s="323"/>
      <c r="T16" s="323"/>
      <c r="U16" s="323"/>
      <c r="V16" s="323"/>
      <c r="W16" s="324"/>
      <c r="X16" s="313"/>
      <c r="Y16" s="314"/>
      <c r="Z16" s="314"/>
      <c r="AA16" s="314"/>
      <c r="AB16" s="314"/>
      <c r="AC16" s="315"/>
    </row>
    <row r="17" spans="1:29" ht="15" customHeight="1" x14ac:dyDescent="0.25">
      <c r="A17" s="261" t="s">
        <v>670</v>
      </c>
      <c r="B17" s="259"/>
      <c r="C17" s="259"/>
      <c r="D17" s="259"/>
      <c r="E17" s="259"/>
      <c r="F17" s="259"/>
      <c r="G17" s="260"/>
      <c r="H17" s="322"/>
      <c r="I17" s="323"/>
      <c r="J17" s="323"/>
      <c r="K17" s="323"/>
      <c r="L17" s="323"/>
      <c r="M17" s="323"/>
      <c r="N17" s="323"/>
      <c r="O17" s="323"/>
      <c r="P17" s="323"/>
      <c r="Q17" s="323"/>
      <c r="R17" s="323"/>
      <c r="S17" s="323"/>
      <c r="T17" s="323"/>
      <c r="U17" s="323"/>
      <c r="V17" s="323"/>
      <c r="W17" s="324"/>
      <c r="X17" s="283" t="s">
        <v>696</v>
      </c>
      <c r="Y17" s="259"/>
      <c r="Z17" s="259"/>
      <c r="AA17" s="259"/>
      <c r="AB17" s="259"/>
      <c r="AC17" s="263"/>
    </row>
    <row r="18" spans="1:29" x14ac:dyDescent="0.25">
      <c r="A18" s="330" t="s">
        <v>669</v>
      </c>
      <c r="B18" s="314"/>
      <c r="C18" s="314"/>
      <c r="D18" s="314"/>
      <c r="E18" s="314"/>
      <c r="F18" s="314"/>
      <c r="G18" s="321"/>
      <c r="H18" s="322"/>
      <c r="I18" s="323"/>
      <c r="J18" s="323"/>
      <c r="K18" s="323"/>
      <c r="L18" s="323"/>
      <c r="M18" s="323"/>
      <c r="N18" s="323"/>
      <c r="O18" s="323"/>
      <c r="P18" s="323"/>
      <c r="Q18" s="323"/>
      <c r="R18" s="323"/>
      <c r="S18" s="323"/>
      <c r="T18" s="323"/>
      <c r="U18" s="323"/>
      <c r="V18" s="323"/>
      <c r="W18" s="324"/>
      <c r="X18" s="313" t="s">
        <v>672</v>
      </c>
      <c r="Y18" s="314"/>
      <c r="Z18" s="314"/>
      <c r="AA18" s="314"/>
      <c r="AB18" s="314"/>
      <c r="AC18" s="315"/>
    </row>
    <row r="19" spans="1:29" x14ac:dyDescent="0.25">
      <c r="A19" s="330"/>
      <c r="B19" s="314"/>
      <c r="C19" s="314"/>
      <c r="D19" s="314"/>
      <c r="E19" s="314"/>
      <c r="F19" s="314"/>
      <c r="G19" s="321"/>
      <c r="H19" s="322"/>
      <c r="I19" s="323"/>
      <c r="J19" s="323"/>
      <c r="K19" s="323"/>
      <c r="L19" s="323"/>
      <c r="M19" s="323"/>
      <c r="N19" s="323"/>
      <c r="O19" s="323"/>
      <c r="P19" s="323"/>
      <c r="Q19" s="323"/>
      <c r="R19" s="323"/>
      <c r="S19" s="323"/>
      <c r="T19" s="323"/>
      <c r="U19" s="323"/>
      <c r="V19" s="323"/>
      <c r="W19" s="324"/>
      <c r="X19" s="313"/>
      <c r="Y19" s="314"/>
      <c r="Z19" s="314"/>
      <c r="AA19" s="314"/>
      <c r="AB19" s="314"/>
      <c r="AC19" s="315"/>
    </row>
    <row r="20" spans="1:29" ht="15" customHeight="1" x14ac:dyDescent="0.25">
      <c r="A20" s="264" t="s">
        <v>670</v>
      </c>
      <c r="B20" s="262"/>
      <c r="C20" s="259"/>
      <c r="D20" s="259"/>
      <c r="E20" s="259"/>
      <c r="F20" s="259"/>
      <c r="G20" s="260"/>
      <c r="H20" s="322"/>
      <c r="I20" s="323"/>
      <c r="J20" s="323"/>
      <c r="K20" s="323"/>
      <c r="L20" s="323"/>
      <c r="M20" s="323"/>
      <c r="N20" s="323"/>
      <c r="O20" s="323"/>
      <c r="P20" s="323"/>
      <c r="Q20" s="323"/>
      <c r="R20" s="323"/>
      <c r="S20" s="323"/>
      <c r="T20" s="323"/>
      <c r="U20" s="323"/>
      <c r="V20" s="323"/>
      <c r="W20" s="324"/>
      <c r="X20" s="313"/>
      <c r="Y20" s="314"/>
      <c r="Z20" s="314"/>
      <c r="AA20" s="314"/>
      <c r="AB20" s="314"/>
      <c r="AC20" s="315"/>
    </row>
    <row r="21" spans="1:29" x14ac:dyDescent="0.25">
      <c r="A21" s="331" t="s">
        <v>687</v>
      </c>
      <c r="B21" s="314"/>
      <c r="C21" s="314"/>
      <c r="D21" s="314"/>
      <c r="E21" s="314"/>
      <c r="F21" s="314"/>
      <c r="G21" s="321"/>
      <c r="H21" s="322"/>
      <c r="I21" s="323"/>
      <c r="J21" s="323"/>
      <c r="K21" s="323"/>
      <c r="L21" s="323"/>
      <c r="M21" s="323"/>
      <c r="N21" s="323"/>
      <c r="O21" s="323"/>
      <c r="P21" s="323"/>
      <c r="Q21" s="323"/>
      <c r="R21" s="323"/>
      <c r="S21" s="323"/>
      <c r="T21" s="323"/>
      <c r="U21" s="323"/>
      <c r="V21" s="323"/>
      <c r="W21" s="324"/>
      <c r="X21" s="322"/>
      <c r="Y21" s="323"/>
      <c r="Z21" s="323"/>
      <c r="AA21" s="323"/>
      <c r="AB21" s="323"/>
      <c r="AC21" s="328"/>
    </row>
    <row r="22" spans="1:29" x14ac:dyDescent="0.25">
      <c r="A22" s="330"/>
      <c r="B22" s="314"/>
      <c r="C22" s="314"/>
      <c r="D22" s="314"/>
      <c r="E22" s="314"/>
      <c r="F22" s="314"/>
      <c r="G22" s="321"/>
      <c r="H22" s="322"/>
      <c r="I22" s="323"/>
      <c r="J22" s="323"/>
      <c r="K22" s="323"/>
      <c r="L22" s="323"/>
      <c r="M22" s="323"/>
      <c r="N22" s="323"/>
      <c r="O22" s="323"/>
      <c r="P22" s="323"/>
      <c r="Q22" s="323"/>
      <c r="R22" s="323"/>
      <c r="S22" s="323"/>
      <c r="T22" s="323"/>
      <c r="U22" s="323"/>
      <c r="V22" s="323"/>
      <c r="W22" s="324"/>
      <c r="X22" s="322"/>
      <c r="Y22" s="323"/>
      <c r="Z22" s="323"/>
      <c r="AA22" s="323"/>
      <c r="AB22" s="323"/>
      <c r="AC22" s="328"/>
    </row>
    <row r="23" spans="1:29" x14ac:dyDescent="0.25">
      <c r="A23" s="330"/>
      <c r="B23" s="314"/>
      <c r="C23" s="314"/>
      <c r="D23" s="314"/>
      <c r="E23" s="314"/>
      <c r="F23" s="314"/>
      <c r="G23" s="321"/>
      <c r="H23" s="322"/>
      <c r="I23" s="323"/>
      <c r="J23" s="323"/>
      <c r="K23" s="323"/>
      <c r="L23" s="323"/>
      <c r="M23" s="323"/>
      <c r="N23" s="323"/>
      <c r="O23" s="323"/>
      <c r="P23" s="323"/>
      <c r="Q23" s="323"/>
      <c r="R23" s="323"/>
      <c r="S23" s="323"/>
      <c r="T23" s="323"/>
      <c r="U23" s="323"/>
      <c r="V23" s="323"/>
      <c r="W23" s="324"/>
      <c r="X23" s="322"/>
      <c r="Y23" s="323"/>
      <c r="Z23" s="323"/>
      <c r="AA23" s="323"/>
      <c r="AB23" s="323"/>
      <c r="AC23" s="328"/>
    </row>
    <row r="24" spans="1:29" x14ac:dyDescent="0.25">
      <c r="A24" s="265" t="s">
        <v>670</v>
      </c>
      <c r="B24" s="266"/>
      <c r="C24" s="266"/>
      <c r="D24" s="266"/>
      <c r="E24" s="266"/>
      <c r="F24" s="266"/>
      <c r="G24" s="267"/>
      <c r="H24" s="322"/>
      <c r="I24" s="323"/>
      <c r="J24" s="323"/>
      <c r="K24" s="323"/>
      <c r="L24" s="323"/>
      <c r="M24" s="323"/>
      <c r="N24" s="323"/>
      <c r="O24" s="323"/>
      <c r="P24" s="323"/>
      <c r="Q24" s="323"/>
      <c r="R24" s="323"/>
      <c r="S24" s="323"/>
      <c r="T24" s="323"/>
      <c r="U24" s="323"/>
      <c r="V24" s="323"/>
      <c r="W24" s="324"/>
      <c r="X24" s="322"/>
      <c r="Y24" s="323"/>
      <c r="Z24" s="323"/>
      <c r="AA24" s="323"/>
      <c r="AB24" s="323"/>
      <c r="AC24" s="328"/>
    </row>
    <row r="25" spans="1:29" x14ac:dyDescent="0.25">
      <c r="A25" s="332" t="s">
        <v>688</v>
      </c>
      <c r="B25" s="333"/>
      <c r="C25" s="333"/>
      <c r="D25" s="333"/>
      <c r="E25" s="333"/>
      <c r="F25" s="333"/>
      <c r="G25" s="334"/>
      <c r="H25" s="322"/>
      <c r="I25" s="323"/>
      <c r="J25" s="323"/>
      <c r="K25" s="323"/>
      <c r="L25" s="323"/>
      <c r="M25" s="323"/>
      <c r="N25" s="323"/>
      <c r="O25" s="323"/>
      <c r="P25" s="323"/>
      <c r="Q25" s="323"/>
      <c r="R25" s="323"/>
      <c r="S25" s="323"/>
      <c r="T25" s="323"/>
      <c r="U25" s="323"/>
      <c r="V25" s="323"/>
      <c r="W25" s="324"/>
      <c r="X25" s="322"/>
      <c r="Y25" s="323"/>
      <c r="Z25" s="323"/>
      <c r="AA25" s="323"/>
      <c r="AB25" s="323"/>
      <c r="AC25" s="328"/>
    </row>
    <row r="26" spans="1:29" x14ac:dyDescent="0.25">
      <c r="A26" s="332"/>
      <c r="B26" s="333"/>
      <c r="C26" s="333"/>
      <c r="D26" s="333"/>
      <c r="E26" s="333"/>
      <c r="F26" s="333"/>
      <c r="G26" s="334"/>
      <c r="H26" s="322"/>
      <c r="I26" s="323"/>
      <c r="J26" s="323"/>
      <c r="K26" s="323"/>
      <c r="L26" s="323"/>
      <c r="M26" s="323"/>
      <c r="N26" s="323"/>
      <c r="O26" s="323"/>
      <c r="P26" s="323"/>
      <c r="Q26" s="323"/>
      <c r="R26" s="323"/>
      <c r="S26" s="323"/>
      <c r="T26" s="323"/>
      <c r="U26" s="323"/>
      <c r="V26" s="323"/>
      <c r="W26" s="324"/>
      <c r="X26" s="322"/>
      <c r="Y26" s="323"/>
      <c r="Z26" s="323"/>
      <c r="AA26" s="323"/>
      <c r="AB26" s="323"/>
      <c r="AC26" s="328"/>
    </row>
    <row r="27" spans="1:29" x14ac:dyDescent="0.25">
      <c r="A27" s="332"/>
      <c r="B27" s="333"/>
      <c r="C27" s="333"/>
      <c r="D27" s="333"/>
      <c r="E27" s="333"/>
      <c r="F27" s="333"/>
      <c r="G27" s="334"/>
      <c r="H27" s="322"/>
      <c r="I27" s="323"/>
      <c r="J27" s="323"/>
      <c r="K27" s="323"/>
      <c r="L27" s="323"/>
      <c r="M27" s="323"/>
      <c r="N27" s="323"/>
      <c r="O27" s="323"/>
      <c r="P27" s="323"/>
      <c r="Q27" s="323"/>
      <c r="R27" s="323"/>
      <c r="S27" s="323"/>
      <c r="T27" s="323"/>
      <c r="U27" s="323"/>
      <c r="V27" s="323"/>
      <c r="W27" s="324"/>
      <c r="X27" s="322"/>
      <c r="Y27" s="323"/>
      <c r="Z27" s="323"/>
      <c r="AA27" s="323"/>
      <c r="AB27" s="323"/>
      <c r="AC27" s="328"/>
    </row>
    <row r="28" spans="1:29" x14ac:dyDescent="0.25">
      <c r="A28" s="268"/>
      <c r="B28" s="266"/>
      <c r="C28" s="266"/>
      <c r="D28" s="266"/>
      <c r="E28" s="266"/>
      <c r="F28" s="266"/>
      <c r="G28" s="267"/>
      <c r="H28" s="322"/>
      <c r="I28" s="323"/>
      <c r="J28" s="323"/>
      <c r="K28" s="323"/>
      <c r="L28" s="323"/>
      <c r="M28" s="323"/>
      <c r="N28" s="323"/>
      <c r="O28" s="323"/>
      <c r="P28" s="323"/>
      <c r="Q28" s="323"/>
      <c r="R28" s="323"/>
      <c r="S28" s="323"/>
      <c r="T28" s="323"/>
      <c r="U28" s="323"/>
      <c r="V28" s="323"/>
      <c r="W28" s="324"/>
      <c r="X28" s="322"/>
      <c r="Y28" s="323"/>
      <c r="Z28" s="323"/>
      <c r="AA28" s="323"/>
      <c r="AB28" s="323"/>
      <c r="AC28" s="328"/>
    </row>
    <row r="29" spans="1:29" x14ac:dyDescent="0.25">
      <c r="A29" s="268"/>
      <c r="B29" s="266"/>
      <c r="C29" s="266"/>
      <c r="D29" s="266"/>
      <c r="E29" s="266"/>
      <c r="F29" s="266"/>
      <c r="G29" s="267"/>
      <c r="H29" s="322"/>
      <c r="I29" s="323"/>
      <c r="J29" s="323"/>
      <c r="K29" s="323"/>
      <c r="L29" s="323"/>
      <c r="M29" s="323"/>
      <c r="N29" s="323"/>
      <c r="O29" s="323"/>
      <c r="P29" s="323"/>
      <c r="Q29" s="323"/>
      <c r="R29" s="323"/>
      <c r="S29" s="323"/>
      <c r="T29" s="323"/>
      <c r="U29" s="323"/>
      <c r="V29" s="323"/>
      <c r="W29" s="324"/>
      <c r="X29" s="322"/>
      <c r="Y29" s="323"/>
      <c r="Z29" s="323"/>
      <c r="AA29" s="323"/>
      <c r="AB29" s="323"/>
      <c r="AC29" s="328"/>
    </row>
    <row r="30" spans="1:29" x14ac:dyDescent="0.25">
      <c r="A30" s="268"/>
      <c r="B30" s="266"/>
      <c r="C30" s="266"/>
      <c r="D30" s="266"/>
      <c r="E30" s="266"/>
      <c r="F30" s="266"/>
      <c r="G30" s="267"/>
      <c r="H30" s="322"/>
      <c r="I30" s="323"/>
      <c r="J30" s="323"/>
      <c r="K30" s="323"/>
      <c r="L30" s="323"/>
      <c r="M30" s="323"/>
      <c r="N30" s="323"/>
      <c r="O30" s="323"/>
      <c r="P30" s="323"/>
      <c r="Q30" s="323"/>
      <c r="R30" s="323"/>
      <c r="S30" s="323"/>
      <c r="T30" s="323"/>
      <c r="U30" s="323"/>
      <c r="V30" s="323"/>
      <c r="W30" s="324"/>
      <c r="X30" s="322"/>
      <c r="Y30" s="323"/>
      <c r="Z30" s="323"/>
      <c r="AA30" s="323"/>
      <c r="AB30" s="323"/>
      <c r="AC30" s="328"/>
    </row>
    <row r="31" spans="1:29" x14ac:dyDescent="0.25">
      <c r="A31" s="268"/>
      <c r="B31" s="266"/>
      <c r="C31" s="266"/>
      <c r="D31" s="266"/>
      <c r="E31" s="266"/>
      <c r="F31" s="266"/>
      <c r="G31" s="267"/>
      <c r="H31" s="322"/>
      <c r="I31" s="323"/>
      <c r="J31" s="323"/>
      <c r="K31" s="323"/>
      <c r="L31" s="323"/>
      <c r="M31" s="323"/>
      <c r="N31" s="323"/>
      <c r="O31" s="323"/>
      <c r="P31" s="323"/>
      <c r="Q31" s="323"/>
      <c r="R31" s="323"/>
      <c r="S31" s="323"/>
      <c r="T31" s="323"/>
      <c r="U31" s="323"/>
      <c r="V31" s="323"/>
      <c r="W31" s="324"/>
      <c r="X31" s="322"/>
      <c r="Y31" s="323"/>
      <c r="Z31" s="323"/>
      <c r="AA31" s="323"/>
      <c r="AB31" s="323"/>
      <c r="AC31" s="328"/>
    </row>
    <row r="32" spans="1:29" x14ac:dyDescent="0.25">
      <c r="A32" s="268"/>
      <c r="B32" s="266"/>
      <c r="C32" s="266"/>
      <c r="D32" s="266"/>
      <c r="E32" s="266"/>
      <c r="F32" s="266"/>
      <c r="G32" s="267"/>
      <c r="H32" s="322"/>
      <c r="I32" s="323"/>
      <c r="J32" s="323"/>
      <c r="K32" s="323"/>
      <c r="L32" s="323"/>
      <c r="M32" s="323"/>
      <c r="N32" s="323"/>
      <c r="O32" s="323"/>
      <c r="P32" s="323"/>
      <c r="Q32" s="323"/>
      <c r="R32" s="323"/>
      <c r="S32" s="323"/>
      <c r="T32" s="323"/>
      <c r="U32" s="323"/>
      <c r="V32" s="323"/>
      <c r="W32" s="324"/>
      <c r="X32" s="322"/>
      <c r="Y32" s="323"/>
      <c r="Z32" s="323"/>
      <c r="AA32" s="323"/>
      <c r="AB32" s="323"/>
      <c r="AC32" s="328"/>
    </row>
    <row r="33" spans="1:29" x14ac:dyDescent="0.25">
      <c r="A33" s="268"/>
      <c r="B33" s="266"/>
      <c r="C33" s="266"/>
      <c r="D33" s="266"/>
      <c r="E33" s="266"/>
      <c r="F33" s="266"/>
      <c r="G33" s="267"/>
      <c r="H33" s="322"/>
      <c r="I33" s="323"/>
      <c r="J33" s="323"/>
      <c r="K33" s="323"/>
      <c r="L33" s="323"/>
      <c r="M33" s="323"/>
      <c r="N33" s="323"/>
      <c r="O33" s="323"/>
      <c r="P33" s="323"/>
      <c r="Q33" s="323"/>
      <c r="R33" s="323"/>
      <c r="S33" s="323"/>
      <c r="T33" s="323"/>
      <c r="U33" s="323"/>
      <c r="V33" s="323"/>
      <c r="W33" s="324"/>
      <c r="X33" s="322"/>
      <c r="Y33" s="323"/>
      <c r="Z33" s="323"/>
      <c r="AA33" s="323"/>
      <c r="AB33" s="323"/>
      <c r="AC33" s="328"/>
    </row>
    <row r="34" spans="1:29" x14ac:dyDescent="0.25">
      <c r="A34" s="268"/>
      <c r="B34" s="266"/>
      <c r="C34" s="266"/>
      <c r="D34" s="266"/>
      <c r="E34" s="266"/>
      <c r="F34" s="266"/>
      <c r="G34" s="267"/>
      <c r="H34" s="325"/>
      <c r="I34" s="326"/>
      <c r="J34" s="326"/>
      <c r="K34" s="326"/>
      <c r="L34" s="326"/>
      <c r="M34" s="326"/>
      <c r="N34" s="326"/>
      <c r="O34" s="326"/>
      <c r="P34" s="326"/>
      <c r="Q34" s="326"/>
      <c r="R34" s="326"/>
      <c r="S34" s="326"/>
      <c r="T34" s="326"/>
      <c r="U34" s="326"/>
      <c r="V34" s="326"/>
      <c r="W34" s="327"/>
      <c r="X34" s="322"/>
      <c r="Y34" s="323"/>
      <c r="Z34" s="323"/>
      <c r="AA34" s="323"/>
      <c r="AB34" s="323"/>
      <c r="AC34" s="328"/>
    </row>
    <row r="35" spans="1:29" x14ac:dyDescent="0.25">
      <c r="A35" s="387" t="s">
        <v>703</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8"/>
    </row>
    <row r="36" spans="1:29" ht="15.75" thickBot="1" x14ac:dyDescent="0.3"/>
    <row r="37" spans="1:29" x14ac:dyDescent="0.25">
      <c r="A37" s="344" t="s">
        <v>692</v>
      </c>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6"/>
    </row>
    <row r="38" spans="1:29" ht="15" customHeight="1" x14ac:dyDescent="0.25">
      <c r="A38" s="353" t="s">
        <v>699</v>
      </c>
      <c r="B38" s="354"/>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5"/>
    </row>
    <row r="39" spans="1:29" x14ac:dyDescent="0.25">
      <c r="A39" s="353"/>
      <c r="B39" s="354"/>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5"/>
    </row>
    <row r="40" spans="1:29" x14ac:dyDescent="0.25">
      <c r="A40" s="353"/>
      <c r="B40" s="354"/>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5"/>
    </row>
    <row r="41" spans="1:29" x14ac:dyDescent="0.25">
      <c r="A41" s="356"/>
      <c r="B41" s="357"/>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8"/>
    </row>
    <row r="42" spans="1:29" ht="15" customHeight="1" x14ac:dyDescent="0.25">
      <c r="A42" s="350" t="s">
        <v>693</v>
      </c>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2"/>
    </row>
    <row r="43" spans="1:29" x14ac:dyDescent="0.25">
      <c r="A43" s="347" t="s">
        <v>701</v>
      </c>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9"/>
    </row>
    <row r="44" spans="1:29" x14ac:dyDescent="0.25">
      <c r="A44" s="335"/>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7"/>
    </row>
    <row r="45" spans="1:29" x14ac:dyDescent="0.25">
      <c r="A45" s="338"/>
      <c r="B45" s="339"/>
      <c r="C45" s="339"/>
      <c r="D45" s="339"/>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40"/>
    </row>
    <row r="46" spans="1:29" x14ac:dyDescent="0.25">
      <c r="A46" s="338"/>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40"/>
    </row>
    <row r="47" spans="1:29" x14ac:dyDescent="0.25">
      <c r="A47" s="338"/>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40"/>
    </row>
    <row r="48" spans="1:29" ht="15.75" thickBot="1" x14ac:dyDescent="0.3">
      <c r="A48" s="341"/>
      <c r="B48" s="342"/>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3"/>
    </row>
  </sheetData>
  <sheetProtection algorithmName="SHA-512" hashValue="2hoEwM/fTEw9O0uXkODO2wfgDgbaHtovSEvM38lBccDvd4G4x96zqf1Amw54qqiwl5zbc6W5i9txyT208k4s+Q==" saltValue="zkSzKubFLFQK/uxNA+AqJg==" spinCount="100000" sheet="1" objects="1" scenarios="1"/>
  <mergeCells count="25">
    <mergeCell ref="A44:AC48"/>
    <mergeCell ref="A37:AC37"/>
    <mergeCell ref="A43:AC43"/>
    <mergeCell ref="A42:AC42"/>
    <mergeCell ref="A38:AC41"/>
    <mergeCell ref="A35:AC35"/>
    <mergeCell ref="X18:AC20"/>
    <mergeCell ref="H12:W14"/>
    <mergeCell ref="H15:W34"/>
    <mergeCell ref="X21:AC34"/>
    <mergeCell ref="A12:G13"/>
    <mergeCell ref="A15:G16"/>
    <mergeCell ref="A18:G19"/>
    <mergeCell ref="A21:G23"/>
    <mergeCell ref="A25:G27"/>
    <mergeCell ref="A10:G11"/>
    <mergeCell ref="H10:W11"/>
    <mergeCell ref="X10:AC11"/>
    <mergeCell ref="X12:AC13"/>
    <mergeCell ref="X14:AC16"/>
    <mergeCell ref="A1:AC1"/>
    <mergeCell ref="A2:AC2"/>
    <mergeCell ref="A3:AC5"/>
    <mergeCell ref="A6:AC6"/>
    <mergeCell ref="A7:AC9"/>
  </mergeCells>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F41"/>
  <sheetViews>
    <sheetView zoomScaleNormal="100" workbookViewId="0">
      <selection activeCell="C8" sqref="C8"/>
    </sheetView>
  </sheetViews>
  <sheetFormatPr defaultColWidth="8.85546875" defaultRowHeight="15" x14ac:dyDescent="0.25"/>
  <cols>
    <col min="1" max="1" width="11.28515625" style="99" bestFit="1" customWidth="1"/>
    <col min="2" max="2" width="106.7109375" style="97" bestFit="1" customWidth="1"/>
    <col min="3" max="3" width="9.7109375" style="97" bestFit="1" customWidth="1"/>
    <col min="4" max="4" width="21.7109375" style="99" customWidth="1"/>
    <col min="5" max="5" width="22" style="99" customWidth="1"/>
    <col min="6" max="6" width="24.85546875" style="99" customWidth="1"/>
    <col min="7" max="16384" width="8.85546875" style="99"/>
  </cols>
  <sheetData>
    <row r="1" spans="1:6" ht="18.75" x14ac:dyDescent="0.25">
      <c r="A1" s="359" t="s">
        <v>409</v>
      </c>
      <c r="B1" s="359"/>
      <c r="C1" s="359"/>
      <c r="D1" s="359"/>
      <c r="E1" s="359"/>
      <c r="F1" s="359"/>
    </row>
    <row r="2" spans="1:6" ht="18" x14ac:dyDescent="0.25">
      <c r="A2" s="361" t="s">
        <v>690</v>
      </c>
      <c r="B2" s="361"/>
      <c r="C2" s="361"/>
      <c r="D2" s="361"/>
      <c r="E2" s="361"/>
      <c r="F2" s="361"/>
    </row>
    <row r="3" spans="1:6" ht="18.75" x14ac:dyDescent="0.25">
      <c r="A3" s="360" t="s">
        <v>207</v>
      </c>
      <c r="B3" s="360"/>
      <c r="C3" s="360"/>
      <c r="D3" s="360"/>
      <c r="E3" s="360"/>
      <c r="F3" s="360"/>
    </row>
    <row r="4" spans="1:6" ht="18.75" x14ac:dyDescent="0.25">
      <c r="A4" s="360" t="s">
        <v>206</v>
      </c>
      <c r="B4" s="360"/>
      <c r="C4" s="360"/>
      <c r="D4" s="360"/>
      <c r="E4" s="360"/>
      <c r="F4" s="360"/>
    </row>
    <row r="5" spans="1:6" x14ac:dyDescent="0.25">
      <c r="A5" s="88" t="s">
        <v>99</v>
      </c>
      <c r="B5" s="88" t="s">
        <v>107</v>
      </c>
      <c r="C5" s="89" t="s">
        <v>7</v>
      </c>
      <c r="D5" s="71">
        <v>2023</v>
      </c>
      <c r="E5" s="71">
        <v>2027</v>
      </c>
      <c r="F5" s="71">
        <v>2030</v>
      </c>
    </row>
    <row r="6" spans="1:6" x14ac:dyDescent="0.25">
      <c r="A6" s="140" t="s">
        <v>165</v>
      </c>
      <c r="B6" s="141" t="s">
        <v>105</v>
      </c>
      <c r="C6" s="143"/>
      <c r="D6" s="144"/>
      <c r="E6" s="144"/>
      <c r="F6" s="144"/>
    </row>
    <row r="7" spans="1:6" ht="15.75" x14ac:dyDescent="0.25">
      <c r="A7" s="207" t="s">
        <v>86</v>
      </c>
      <c r="B7" s="218" t="s">
        <v>61</v>
      </c>
      <c r="C7" s="208"/>
      <c r="D7" s="209"/>
      <c r="E7" s="209"/>
      <c r="F7" s="209"/>
    </row>
    <row r="8" spans="1:6" ht="15.75" x14ac:dyDescent="0.25">
      <c r="A8" s="49" t="s">
        <v>267</v>
      </c>
      <c r="B8" s="59" t="s">
        <v>63</v>
      </c>
      <c r="C8" s="90" t="s">
        <v>12</v>
      </c>
      <c r="D8" s="91">
        <f>'Input Técnico'!H66</f>
        <v>0</v>
      </c>
      <c r="E8" s="91">
        <f>'Input Técnico'!L66</f>
        <v>0</v>
      </c>
      <c r="F8" s="91">
        <f>'Input Técnico'!O66</f>
        <v>0</v>
      </c>
    </row>
    <row r="9" spans="1:6" ht="15.75" x14ac:dyDescent="0.25">
      <c r="A9" s="49" t="s">
        <v>268</v>
      </c>
      <c r="B9" s="57" t="s">
        <v>31</v>
      </c>
      <c r="C9" s="90" t="s">
        <v>12</v>
      </c>
      <c r="D9" s="91">
        <f>'Input Técnico'!H67</f>
        <v>0</v>
      </c>
      <c r="E9" s="91">
        <f>'Input Técnico'!L67</f>
        <v>0</v>
      </c>
      <c r="F9" s="91">
        <f>'Input Técnico'!O67</f>
        <v>0</v>
      </c>
    </row>
    <row r="10" spans="1:6" ht="15.75" x14ac:dyDescent="0.25">
      <c r="A10" s="49" t="s">
        <v>269</v>
      </c>
      <c r="B10" s="60" t="s">
        <v>29</v>
      </c>
      <c r="C10" s="90" t="s">
        <v>12</v>
      </c>
      <c r="D10" s="91">
        <f>'Input Técnico'!H68</f>
        <v>0</v>
      </c>
      <c r="E10" s="91">
        <f>'Input Técnico'!L68</f>
        <v>0</v>
      </c>
      <c r="F10" s="91">
        <f>'Input Técnico'!O68</f>
        <v>0</v>
      </c>
    </row>
    <row r="11" spans="1:6" ht="15.75" x14ac:dyDescent="0.25">
      <c r="A11" s="49" t="s">
        <v>270</v>
      </c>
      <c r="B11" s="60" t="s">
        <v>30</v>
      </c>
      <c r="C11" s="90" t="s">
        <v>12</v>
      </c>
      <c r="D11" s="91">
        <f>'Input Técnico'!H69</f>
        <v>0</v>
      </c>
      <c r="E11" s="91">
        <f>'Input Técnico'!L69</f>
        <v>0</v>
      </c>
      <c r="F11" s="91">
        <f>'Input Técnico'!O69</f>
        <v>0</v>
      </c>
    </row>
    <row r="12" spans="1:6" ht="15.75" x14ac:dyDescent="0.25">
      <c r="A12" s="49" t="s">
        <v>271</v>
      </c>
      <c r="B12" s="59" t="s">
        <v>64</v>
      </c>
      <c r="C12" s="90" t="s">
        <v>12</v>
      </c>
      <c r="D12" s="91">
        <f>'Input Técnico'!H70</f>
        <v>0</v>
      </c>
      <c r="E12" s="91">
        <f>'Input Técnico'!L70</f>
        <v>0</v>
      </c>
      <c r="F12" s="91">
        <f>'Input Técnico'!O70</f>
        <v>0</v>
      </c>
    </row>
    <row r="13" spans="1:6" ht="15.75" x14ac:dyDescent="0.25">
      <c r="A13" s="49" t="s">
        <v>635</v>
      </c>
      <c r="B13" s="57" t="s">
        <v>31</v>
      </c>
      <c r="C13" s="90" t="s">
        <v>12</v>
      </c>
      <c r="D13" s="91">
        <f>'Input Técnico'!H71</f>
        <v>0</v>
      </c>
      <c r="E13" s="91">
        <f>'Input Técnico'!L71</f>
        <v>0</v>
      </c>
      <c r="F13" s="91">
        <f>'Input Técnico'!O71</f>
        <v>0</v>
      </c>
    </row>
    <row r="14" spans="1:6" ht="15.75" x14ac:dyDescent="0.25">
      <c r="A14" s="49" t="s">
        <v>636</v>
      </c>
      <c r="B14" s="60" t="s">
        <v>29</v>
      </c>
      <c r="C14" s="90" t="s">
        <v>12</v>
      </c>
      <c r="D14" s="91">
        <f>'Input Técnico'!H72</f>
        <v>0</v>
      </c>
      <c r="E14" s="91">
        <f>'Input Técnico'!L72</f>
        <v>0</v>
      </c>
      <c r="F14" s="91">
        <f>'Input Técnico'!O72</f>
        <v>0</v>
      </c>
    </row>
    <row r="15" spans="1:6" ht="15.75" x14ac:dyDescent="0.25">
      <c r="A15" s="49" t="s">
        <v>637</v>
      </c>
      <c r="B15" s="60" t="s">
        <v>30</v>
      </c>
      <c r="C15" s="90" t="s">
        <v>12</v>
      </c>
      <c r="D15" s="91">
        <f>'Input Técnico'!H73</f>
        <v>0</v>
      </c>
      <c r="E15" s="91">
        <f>'Input Técnico'!L73</f>
        <v>0</v>
      </c>
      <c r="F15" s="91">
        <f>'Input Técnico'!O73</f>
        <v>0</v>
      </c>
    </row>
    <row r="16" spans="1:6" ht="15.75" x14ac:dyDescent="0.25">
      <c r="A16" s="210" t="s">
        <v>87</v>
      </c>
      <c r="B16" s="218" t="s">
        <v>33</v>
      </c>
      <c r="C16" s="208"/>
      <c r="D16" s="209"/>
      <c r="E16" s="209"/>
      <c r="F16" s="209"/>
    </row>
    <row r="17" spans="1:6" x14ac:dyDescent="0.25">
      <c r="A17" s="49" t="s">
        <v>93</v>
      </c>
      <c r="B17" s="59" t="s">
        <v>101</v>
      </c>
      <c r="C17" s="61" t="s">
        <v>12</v>
      </c>
      <c r="D17" s="91">
        <f>'Input Técnico'!H85</f>
        <v>0</v>
      </c>
      <c r="E17" s="91">
        <f>'Input Técnico'!L85</f>
        <v>0</v>
      </c>
      <c r="F17" s="91">
        <f>'Input Técnico'!O85</f>
        <v>0</v>
      </c>
    </row>
    <row r="18" spans="1:6" ht="15.75" x14ac:dyDescent="0.25">
      <c r="A18" s="139" t="s">
        <v>166</v>
      </c>
      <c r="B18" s="141" t="s">
        <v>106</v>
      </c>
      <c r="C18" s="142"/>
      <c r="D18" s="126"/>
      <c r="E18" s="126"/>
      <c r="F18" s="126"/>
    </row>
    <row r="19" spans="1:6" x14ac:dyDescent="0.25">
      <c r="A19" s="138" t="s">
        <v>232</v>
      </c>
      <c r="B19" s="211" t="s">
        <v>102</v>
      </c>
      <c r="C19" s="92" t="s">
        <v>13</v>
      </c>
      <c r="D19" s="93">
        <f>'Input Técnico'!H20</f>
        <v>0</v>
      </c>
      <c r="E19" s="94">
        <f>'Input Técnico'!L20</f>
        <v>0</v>
      </c>
      <c r="F19" s="94">
        <f>'Input Técnico'!O20</f>
        <v>0</v>
      </c>
    </row>
    <row r="20" spans="1:6" x14ac:dyDescent="0.25">
      <c r="A20" s="49" t="s">
        <v>285</v>
      </c>
      <c r="B20" s="211" t="s">
        <v>104</v>
      </c>
      <c r="C20" s="92" t="s">
        <v>13</v>
      </c>
      <c r="D20" s="93">
        <f>'Input Técnico'!H111</f>
        <v>0</v>
      </c>
      <c r="E20" s="93">
        <f>'Input Técnico'!L111</f>
        <v>0</v>
      </c>
      <c r="F20" s="93">
        <f>'Input Técnico'!O111</f>
        <v>0</v>
      </c>
    </row>
    <row r="21" spans="1:6" x14ac:dyDescent="0.25">
      <c r="A21" s="138" t="s">
        <v>282</v>
      </c>
      <c r="B21" s="211" t="s">
        <v>103</v>
      </c>
      <c r="C21" s="95" t="s">
        <v>12</v>
      </c>
      <c r="D21" s="91">
        <f>'Input Técnico'!H95</f>
        <v>0</v>
      </c>
      <c r="E21" s="91">
        <f>'Input Técnico'!L95</f>
        <v>0</v>
      </c>
      <c r="F21" s="91">
        <f>'Input Técnico'!O95</f>
        <v>0</v>
      </c>
    </row>
    <row r="22" spans="1:6" x14ac:dyDescent="0.25">
      <c r="A22" s="206" t="s">
        <v>591</v>
      </c>
      <c r="B22" s="224" t="s">
        <v>597</v>
      </c>
      <c r="C22" s="215" t="s">
        <v>12</v>
      </c>
      <c r="D22" s="91">
        <f>IFERROR(('Input Técnico'!H111/(('Input Técnico'!H14)*0.734)),0)</f>
        <v>0</v>
      </c>
      <c r="E22" s="91">
        <f>IFERROR('Input Técnico'!L111/'Input Técnico'!L14,0)</f>
        <v>0</v>
      </c>
      <c r="F22" s="91">
        <f>IFERROR('Input Técnico'!O111/'Input Técnico'!O14,0)</f>
        <v>0</v>
      </c>
    </row>
    <row r="23" spans="1:6" ht="15" customHeight="1" x14ac:dyDescent="0.25">
      <c r="A23" s="139" t="s">
        <v>167</v>
      </c>
      <c r="B23" s="141" t="s">
        <v>217</v>
      </c>
      <c r="C23" s="147"/>
      <c r="D23" s="147"/>
      <c r="E23" s="147"/>
      <c r="F23" s="147"/>
    </row>
    <row r="24" spans="1:6" ht="15" customHeight="1" x14ac:dyDescent="0.25">
      <c r="A24" s="138" t="s">
        <v>373</v>
      </c>
      <c r="B24" s="232" t="s">
        <v>609</v>
      </c>
      <c r="C24" s="76" t="s">
        <v>43</v>
      </c>
      <c r="D24" s="96">
        <f>AVERAGE('Fluxo de Caixa'!D24:F24)+D35</f>
        <v>0</v>
      </c>
      <c r="E24" s="96">
        <f>AVERAGE('Fluxo de Caixa'!D24:J24)+E35</f>
        <v>0</v>
      </c>
      <c r="F24" s="84">
        <f>AVERAGE('Fluxo de Caixa'!D24:M24)+F35</f>
        <v>0</v>
      </c>
    </row>
    <row r="25" spans="1:6" x14ac:dyDescent="0.25">
      <c r="A25" s="138" t="s">
        <v>374</v>
      </c>
      <c r="B25" s="232" t="s">
        <v>611</v>
      </c>
      <c r="C25" s="76" t="s">
        <v>12</v>
      </c>
      <c r="D25" s="91">
        <f>IFERROR(AVERAGE('Fluxo de Caixa'!D16:F16)/(AVERAGE('Fluxo de Caixa'!D24:F24)+'Apoio à Decisão'!D35),0)</f>
        <v>0</v>
      </c>
      <c r="E25" s="91">
        <f>IFERROR(AVERAGE('Fluxo de Caixa'!D16:J16)/(AVERAGE('Fluxo de Caixa'!D24:J24)+'Apoio à Decisão'!E35),0)</f>
        <v>0</v>
      </c>
      <c r="F25" s="91">
        <f>IFERROR(AVERAGE('Fluxo de Caixa'!D16:M16)/(AVERAGE('Fluxo de Caixa'!D24:M24)+F35),0)</f>
        <v>0</v>
      </c>
    </row>
    <row r="26" spans="1:6" x14ac:dyDescent="0.25">
      <c r="A26" s="138" t="s">
        <v>375</v>
      </c>
      <c r="B26" s="232" t="s">
        <v>607</v>
      </c>
      <c r="C26" s="76" t="s">
        <v>43</v>
      </c>
      <c r="D26" s="116">
        <f>IFERROR(NPV($D$34,'Fluxo de Caixa'!D4:F4),0)</f>
        <v>0</v>
      </c>
      <c r="E26" s="116">
        <f>IFERROR(NPV($D$34,'Fluxo de Caixa'!D4:J4),0)</f>
        <v>0</v>
      </c>
      <c r="F26" s="116">
        <f>IFERROR(NPV($D$34,'Fluxo de Caixa'!D4:M4),0)</f>
        <v>0</v>
      </c>
    </row>
    <row r="27" spans="1:6" ht="14.45" customHeight="1" x14ac:dyDescent="0.25">
      <c r="A27" s="139" t="s">
        <v>168</v>
      </c>
      <c r="B27" s="141" t="s">
        <v>218</v>
      </c>
      <c r="C27" s="147"/>
      <c r="D27" s="147"/>
      <c r="E27" s="147"/>
      <c r="F27" s="147"/>
    </row>
    <row r="28" spans="1:6" ht="14.45" customHeight="1" x14ac:dyDescent="0.25">
      <c r="A28" s="138" t="s">
        <v>376</v>
      </c>
      <c r="B28" s="235" t="s">
        <v>612</v>
      </c>
      <c r="C28" s="76" t="s">
        <v>43</v>
      </c>
      <c r="D28" s="213">
        <f>IFERROR(NPV($D$34,'Fluxo de Caixa'!D38:F38),0)</f>
        <v>0</v>
      </c>
      <c r="E28" s="213">
        <f>IFERROR(NPV($D$34,'Fluxo de Caixa'!D38:J38),0)</f>
        <v>0</v>
      </c>
      <c r="F28" s="213">
        <f>IFERROR(NPV($D$34,'Fluxo de Caixa'!D38:M38),0)</f>
        <v>0</v>
      </c>
    </row>
    <row r="29" spans="1:6" ht="30.75" customHeight="1" x14ac:dyDescent="0.25">
      <c r="A29" s="205" t="s">
        <v>377</v>
      </c>
      <c r="B29" s="232" t="s">
        <v>608</v>
      </c>
      <c r="C29" s="76" t="s">
        <v>132</v>
      </c>
      <c r="D29" s="195">
        <f>IF(IF(COUNTIF('Fluxo de Caixa'!D39:E39,"&lt;"&amp;0)&gt;=1,COUNTIF('Fluxo de Caixa'!D39:E39,"&lt;"&amp;0)+1,1)&gt;COUNT('Fluxo de Caixa'!D2:E2),"Investimento não coberto até 2023",IF(COUNTIF('Fluxo de Caixa'!D39:E39,"&lt;"&amp;0)&gt;=1,COUNTIF('Fluxo de Caixa'!D39:E39,"&lt;"&amp;0)+1,1))</f>
        <v>1</v>
      </c>
      <c r="E29" s="195">
        <f>IF(IF(COUNTIF('Fluxo de Caixa'!D39:J39,"&lt;"&amp;0)&gt;=1,COUNTIF('Fluxo de Caixa'!D39:J39,"&lt;"&amp;0)+1,1)&gt;COUNT('Fluxo de Caixa'!D2:J2),"Investimento não coberto até 2027",IF(COUNTIF('Fluxo de Caixa'!D39:J39,"&lt;"&amp;0)&gt;=1,COUNTIF('Fluxo de Caixa'!D39:J39,"&lt;"&amp;0)+1,1))</f>
        <v>1</v>
      </c>
      <c r="F29" s="195">
        <f>IF(IF(COUNTIF('Fluxo de Caixa'!D39:M39,"&lt;"&amp;0)&gt;=1,COUNTIF('Fluxo de Caixa'!D39:M39,"&lt;"&amp;0)+1,1)&gt;COUNT('Fluxo de Caixa'!D2:M2),"Investimento não coberto até 2030",IF(COUNTIF('Fluxo de Caixa'!D39:M39,"&lt;"&amp;0)&gt;=1,COUNTIF('Fluxo de Caixa'!D39:M39,"&lt;"&amp;0)+1,1))</f>
        <v>1</v>
      </c>
    </row>
    <row r="30" spans="1:6" x14ac:dyDescent="0.25">
      <c r="A30" s="205" t="s">
        <v>378</v>
      </c>
      <c r="B30" s="235" t="s">
        <v>613</v>
      </c>
      <c r="C30" s="76" t="s">
        <v>12</v>
      </c>
      <c r="D30" s="91">
        <f>IFERROR(D28/D26,0)</f>
        <v>0</v>
      </c>
      <c r="E30" s="91">
        <f>IFERROR(E28/E26,0)</f>
        <v>0</v>
      </c>
      <c r="F30" s="91">
        <f>IFERROR(F28/F26,0)</f>
        <v>0</v>
      </c>
    </row>
    <row r="31" spans="1:6" x14ac:dyDescent="0.25">
      <c r="A31" s="205" t="s">
        <v>379</v>
      </c>
      <c r="B31" s="235" t="s">
        <v>614</v>
      </c>
      <c r="C31" s="76" t="s">
        <v>43</v>
      </c>
      <c r="D31" s="84">
        <f>IFERROR(D28/((1-(1/(1+$D$34))^COUNT('Fluxo de Caixa'!$D$2:$F$2))/$D$34),0)</f>
        <v>0</v>
      </c>
      <c r="E31" s="84">
        <f>IFERROR(E28/((1-(1/(1+$D$34))^COUNT('Fluxo de Caixa'!$D$2:$J$2))/$D$34),0)</f>
        <v>0</v>
      </c>
      <c r="F31" s="84">
        <f>IFERROR(F28/((1-(1/(1+$D$34))^COUNT('Fluxo de Caixa'!$D$2:$M$2))/$D$34),0)</f>
        <v>0</v>
      </c>
    </row>
    <row r="32" spans="1:6" x14ac:dyDescent="0.25">
      <c r="A32" s="206" t="s">
        <v>592</v>
      </c>
      <c r="B32" s="212" t="s">
        <v>593</v>
      </c>
      <c r="C32" s="214" t="s">
        <v>13</v>
      </c>
      <c r="D32" s="93">
        <f>IFERROR((AVERAGE('Fluxo de Caixa'!$D$26:F26)+AVERAGE('Fluxo de Caixa'!$D$29:F29)+AVERAGE('Fluxo de Caixa'!$D$30:F30)+AVERAGE('Fluxo de Caixa'!$D$31:F31)+AVERAGE('Fluxo de Caixa'!$D$32:F32)+AVERAGE('Fluxo de Caixa'!$D$33:F33)+AVERAGE('Fluxo de Caixa'!$D$36:F36)+'Apoio à Decisão'!D35)/((AVERAGE('Fluxo de Caixa'!$D$18:F18)+AVERAGE('Fluxo de Caixa'!$D$20:F20)-AVERAGE('Fluxo de Caixa'!$D$25:F25)-AVERAGE('Fluxo de Caixa'!$D$28:F28))/'Input Económico-financeiro'!G4),0)</f>
        <v>0</v>
      </c>
      <c r="E32" s="93">
        <f>IFERROR((AVERAGE('Fluxo de Caixa'!$D$26:J26)+AVERAGE('Fluxo de Caixa'!$D$29:J29)+AVERAGE('Fluxo de Caixa'!$D$30:J30)+AVERAGE('Fluxo de Caixa'!$D$31:J31)+AVERAGE('Fluxo de Caixa'!$D$32:J32)+AVERAGE('Fluxo de Caixa'!$D$33:J33)+AVERAGE('Fluxo de Caixa'!$D$36:J36)+E35)/((AVERAGE('Fluxo de Caixa'!$D$18:J18)+AVERAGE('Fluxo de Caixa'!$D$20:J20)-AVERAGE('Fluxo de Caixa'!$D$25:J25)-AVERAGE('Fluxo de Caixa'!$D$28:J28))/'Input Económico-financeiro'!K4),0)</f>
        <v>0</v>
      </c>
      <c r="F32" s="93">
        <f>IFERROR((AVERAGE('Fluxo de Caixa'!$D$26:M26)+AVERAGE('Fluxo de Caixa'!$D$29:M29)+AVERAGE('Fluxo de Caixa'!$D$30:M30)+AVERAGE('Fluxo de Caixa'!$D$31:M31)+AVERAGE('Fluxo de Caixa'!$D$32:M32)+AVERAGE('Fluxo de Caixa'!$D$33:M33)+AVERAGE('Fluxo de Caixa'!$D$36:M36)+F35)/((AVERAGE('Fluxo de Caixa'!$D$18:M18)+AVERAGE('Fluxo de Caixa'!$D$20:M20)-AVERAGE('Fluxo de Caixa'!$D$25:M25)-AVERAGE('Fluxo de Caixa'!$D$28:M28))/'Input Económico-financeiro'!N4),0)</f>
        <v>0</v>
      </c>
    </row>
    <row r="33" spans="1:6" x14ac:dyDescent="0.25">
      <c r="A33" s="148" t="s">
        <v>169</v>
      </c>
      <c r="B33" s="140" t="s">
        <v>198</v>
      </c>
      <c r="C33" s="147"/>
      <c r="D33" s="147"/>
      <c r="E33" s="147"/>
      <c r="F33" s="147"/>
    </row>
    <row r="34" spans="1:6" x14ac:dyDescent="0.25">
      <c r="A34" s="138" t="s">
        <v>380</v>
      </c>
      <c r="B34" s="216" t="s">
        <v>131</v>
      </c>
      <c r="C34" s="76" t="s">
        <v>12</v>
      </c>
      <c r="D34" s="271"/>
      <c r="E34" s="272"/>
      <c r="F34" s="272"/>
    </row>
    <row r="35" spans="1:6" x14ac:dyDescent="0.25">
      <c r="A35" s="138" t="s">
        <v>381</v>
      </c>
      <c r="B35" s="233" t="s">
        <v>610</v>
      </c>
      <c r="C35" s="76" t="s">
        <v>43</v>
      </c>
      <c r="D35" s="201">
        <f>(1/4)*AVERAGE('Fluxo de Caixa'!D10:F10)+(1/5)*AVERAGE('Fluxo de Caixa'!D9:F9)+(1/5)*AVERAGE('Fluxo de Caixa'!D11:F11)+(1/3)*AVERAGE('Fluxo de Caixa'!D13:F13)</f>
        <v>0</v>
      </c>
      <c r="E35" s="201">
        <f>(1/4)*AVERAGE('Fluxo de Caixa'!D10:J10)+(1/5)*AVERAGE('Fluxo de Caixa'!D9:J9)+(1/5)*AVERAGE('Fluxo de Caixa'!D11:J11)+(1/3)*AVERAGE('Fluxo de Caixa'!D13:J13)</f>
        <v>0</v>
      </c>
      <c r="F35" s="201">
        <f>(1/4)*AVERAGE('Fluxo de Caixa'!D10:M10)+(1/5)*AVERAGE('Fluxo de Caixa'!D9:M9)+(1/5)*AVERAGE('Fluxo de Caixa'!D11:M11)+(1/3)*AVERAGE('Fluxo de Caixa'!D13:M13)</f>
        <v>0</v>
      </c>
    </row>
    <row r="36" spans="1:6" x14ac:dyDescent="0.25">
      <c r="A36" s="139" t="s">
        <v>170</v>
      </c>
      <c r="B36" s="141" t="s">
        <v>70</v>
      </c>
      <c r="C36" s="125"/>
      <c r="D36" s="126"/>
      <c r="E36" s="126"/>
      <c r="F36" s="126"/>
    </row>
    <row r="37" spans="1:6" x14ac:dyDescent="0.25">
      <c r="A37" s="138" t="s">
        <v>382</v>
      </c>
      <c r="B37" s="217" t="s">
        <v>466</v>
      </c>
      <c r="C37" s="187" t="s">
        <v>467</v>
      </c>
      <c r="D37" s="193">
        <f>IFERROR((IF('Input Económico-financeiro'!$D$171=Lista!$A$147,Lista!$H$147*'Input Económico-financeiro'!$G$172,IF('Input Económico-financeiro'!$D$171=Lista!$A$148,Lista!$H$148*'Input Económico-financeiro'!$G$172,IF('Input Económico-financeiro'!$D$171=Lista!A149,Lista!H149*'Input Económico-financeiro'!G172,0)))+(IF('Input Económico-financeiro'!$D$174=Lista!$A$147,Lista!$H$147*'Input Económico-financeiro'!$G$175,IF('Input Económico-financeiro'!$D$174=Lista!$A$148,Lista!$H$148*'Input Económico-financeiro'!$G$175,IF('Input Económico-financeiro'!$D$174=Lista!A149,Lista!H149*'Input Económico-financeiro'!G175,0))))+(IF('Input Económico-financeiro'!$D$177=Lista!$A$147,Lista!$H$147*'Input Económico-financeiro'!$G$178,IF('Input Económico-financeiro'!$D$177=Lista!$A$148,Lista!$H$148*'Input Económico-financeiro'!$G$178,IF('Input Económico-financeiro'!$D$177=Lista!A149,Lista!H149*'Input Económico-financeiro'!G178,0))))+(IF('Input Económico-financeiro'!$D$180=Lista!$A$147,Lista!$H$147*'Input Económico-financeiro'!$G$181,IF('Input Económico-financeiro'!$D$180=Lista!$A$148,Lista!$H$148*'Input Económico-financeiro'!$G$181,IF('Input Económico-financeiro'!$D$180=Lista!A149,Lista!H149*'Input Económico-financeiro'!G181,0))))+(IF('Input Económico-financeiro'!$D$183=Lista!$A$147,Lista!$H$147*'Input Económico-financeiro'!$G$184,IF('Input Económico-financeiro'!$D$183=Lista!$A$148,Lista!$H$148*'Input Económico-financeiro'!$G$184,IF('Input Económico-financeiro'!$D$183=Lista!A149,Lista!H149*'Input Económico-financeiro'!G184,0))))+(IF('Input Económico-financeiro'!$D$186=Lista!$A$147,Lista!$H$147*'Input Económico-financeiro'!$G$187,IF('Input Económico-financeiro'!$D$186=Lista!$A$148,Lista!$H$148*'Input Económico-financeiro'!$G$187,IF('Input Económico-financeiro'!$D$186=Lista!A149,Lista!H149*'Input Económico-financeiro'!G187,0))))+(IF('Input Económico-financeiro'!$D$189=Lista!$A$147,Lista!$H$147*'Input Económico-financeiro'!$G$190,IF('Input Económico-financeiro'!$D$189=Lista!$A$148,Lista!$H$148*'Input Económico-financeiro'!$G$190,IF('Input Económico-financeiro'!$D$189=Lista!A149,Lista!H149*'Input Económico-financeiro'!G190,0))))+(IF('Input Económico-financeiro'!$D$192=Lista!$A$147,Lista!$H$147*'Input Económico-financeiro'!$G$193,IF('Input Económico-financeiro'!$D$192=Lista!$A$148,Lista!$H$148*'Input Económico-financeiro'!$G$193,IF('Input Económico-financeiro'!$D$192=Lista!A149,Lista!H149*'Input Económico-financeiro'!G193,0))))+(IF('Input Económico-financeiro'!$D$195=Lista!$A$147,Lista!$H$147*'Input Económico-financeiro'!$G$196,IF('Input Económico-financeiro'!$D$195=Lista!$A$148,Lista!$H$148*'Input Económico-financeiro'!$G$196,IF('Input Económico-financeiro'!$D$195=Lista!A149,Lista!H149*'Input Económico-financeiro'!G196,0))))+(IF('Input Económico-financeiro'!$D$198=Lista!$A$147,Lista!$H$147*'Input Económico-financeiro'!$G$199,IF('Input Económico-financeiro'!$D$198=Lista!$A$148,Lista!$H$148*'Input Económico-financeiro'!$G$199,IF('Input Económico-financeiro'!$D$198=Lista!A149,Lista!H149*'Input Económico-financeiro'!G199,0))))+(IF('Input Económico-financeiro'!$D$201=Lista!$A$147,Lista!$H$147*'Input Económico-financeiro'!$G$202,IF('Input Económico-financeiro'!$D$201=Lista!$A$148,Lista!$H$148*'Input Económico-financeiro'!$G$202,IF('Input Económico-financeiro'!$D$201=Lista!A149,Lista!H149*'Input Económico-financeiro'!G202,0)))))/D20,0)</f>
        <v>0</v>
      </c>
      <c r="E37" s="193">
        <f>IFERROR((IF('Input Económico-financeiro'!$D$171=Lista!$A$147,Lista!$H$147*'Input Económico-financeiro'!$K$172,IF('Input Económico-financeiro'!$D$171=Lista!$A$148,Lista!$H$148*'Input Económico-financeiro'!$K$172,IF('Input Económico-financeiro'!$D$171=Lista!A149,Lista!H149*'Input Económico-financeiro'!K172,0)))+(IF('Input Económico-financeiro'!$D$174=Lista!$A$147,Lista!$H$147*'Input Económico-financeiro'!$K$175,IF('Input Económico-financeiro'!$D$174=Lista!$A$148,Lista!$H$148*'Input Económico-financeiro'!$K$175,IF('Input Económico-financeiro'!$D$174=Lista!A149,Lista!H149*'Input Económico-financeiro'!K175,0))))+(IF('Input Económico-financeiro'!$D$177=Lista!$A$147,Lista!$H$147*'Input Económico-financeiro'!$K$178,IF('Input Económico-financeiro'!$D$177=Lista!$A$148,Lista!$H$148*'Input Económico-financeiro'!$K$178,IF('Input Económico-financeiro'!$D$177=Lista!A149,Lista!H149*'Input Económico-financeiro'!K178,0))))+(IF('Input Económico-financeiro'!$D$180=Lista!$A$147,Lista!$H$147*'Input Económico-financeiro'!$K$181,IF('Input Económico-financeiro'!$D$180=Lista!$A$148,Lista!$H$148*'Input Económico-financeiro'!$K$181,IF('Input Económico-financeiro'!$D$180=Lista!A149,Lista!H149*'Input Económico-financeiro'!K181,0))))+(IF('Input Económico-financeiro'!$D$183=Lista!$A$147,Lista!$H$147*'Input Económico-financeiro'!$K$184,IF('Input Económico-financeiro'!$D$183=Lista!$A$148,Lista!$H$148*'Input Económico-financeiro'!$K$184,IF('Input Económico-financeiro'!$D$183=Lista!A149,Lista!H149*'Input Económico-financeiro'!K184,0))))+(IF('Input Económico-financeiro'!$D$186=Lista!$A$147,Lista!$H$147*'Input Económico-financeiro'!$K$187,IF('Input Económico-financeiro'!$D$186=Lista!$A$148,Lista!$H$148*'Input Económico-financeiro'!$G$187,IF('Input Económico-financeiro'!$D$186=Lista!A149,Lista!H149*'Input Económico-financeiro'!K187,0))))+(IF('Input Económico-financeiro'!$D$189=Lista!$A$147,Lista!$H$147*'Input Económico-financeiro'!$K$190,IF('Input Económico-financeiro'!$D$189=Lista!$A$148,Lista!$H$148*'Input Económico-financeiro'!$K$190,IF('Input Económico-financeiro'!$D$189=Lista!A149,Lista!H149*'Input Económico-financeiro'!K190,0))))+(IF('Input Económico-financeiro'!$D$192=Lista!$A$147,Lista!$H$147*'Input Económico-financeiro'!$K$193,IF('Input Económico-financeiro'!$D$192=Lista!$A$148,Lista!$H$148*'Input Económico-financeiro'!$K$193,IF('Input Económico-financeiro'!$D$192=Lista!A149,Lista!H149*'Input Económico-financeiro'!K193,0))))+(IF('Input Económico-financeiro'!$D$195=Lista!$A$147,Lista!$H$147*'Input Económico-financeiro'!$K$196,IF('Input Económico-financeiro'!$D$195=Lista!$A$148,Lista!$H$148*'Input Económico-financeiro'!$K$196,IF('Input Económico-financeiro'!$D$195=Lista!A149,Lista!H149*'Input Económico-financeiro'!K196,0))))+(IF('Input Económico-financeiro'!$D$198=Lista!$A$147,Lista!$H$147*'Input Económico-financeiro'!$K$199,IF('Input Económico-financeiro'!$D$198=Lista!$A$148,Lista!$H$148*'Input Económico-financeiro'!$K$199,IF('Input Económico-financeiro'!$D$198=Lista!A149,Lista!H149*'Input Económico-financeiro'!K199,0))))+(IF('Input Económico-financeiro'!$D$201=Lista!$A$147,Lista!$H$147*'Input Económico-financeiro'!$K$202,IF('Input Económico-financeiro'!$D$201=Lista!$A$148,Lista!$H$148*'Input Económico-financeiro'!$K$202,IF('Input Económico-financeiro'!$D$201=Lista!A149,Lista!H149*'Input Económico-financeiro'!K202,0)))))/E20,0)</f>
        <v>0</v>
      </c>
      <c r="F37" s="193">
        <f>IFERROR((IF('Input Económico-financeiro'!$D$171=Lista!$A$147,Lista!$H$147*'Input Económico-financeiro'!$N$172,IF('Input Económico-financeiro'!$D$171=Lista!$A$148,Lista!$H$148*'Input Económico-financeiro'!$N$172,IF('Input Económico-financeiro'!$D$171=Lista!A149,Lista!H149*'Input Económico-financeiro'!N172,0)))+(IF('Input Económico-financeiro'!$D$174=Lista!$A$147,Lista!$H$147*'Input Económico-financeiro'!$N$175,IF('Input Económico-financeiro'!$D$174=Lista!$A$148,Lista!$H$148*'Input Económico-financeiro'!$N$175,IF('Input Económico-financeiro'!$D$174=Lista!A149,Lista!H149*'Input Económico-financeiro'!N175,0))))+(IF('Input Económico-financeiro'!$D$177=Lista!$A$147,Lista!$H$147*'Input Económico-financeiro'!$N$178,IF('Input Económico-financeiro'!$D$177=Lista!$A$148,Lista!$H$148*'Input Económico-financeiro'!$N$178,IF('Input Económico-financeiro'!$D$177=Lista!A149,Lista!H149*'Input Económico-financeiro'!N178,0))))+(IF('Input Económico-financeiro'!$D$180=Lista!$A$147,Lista!$H$147*'Input Económico-financeiro'!$N$181,IF('Input Económico-financeiro'!$D$180=Lista!$A$148,Lista!$H$148*'Input Económico-financeiro'!$N$181,IF('Input Económico-financeiro'!$D$180=Lista!A149,Lista!H149*'Input Económico-financeiro'!N181,0))))+(IF('Input Económico-financeiro'!$D$183=Lista!$A$147,Lista!$H$147*'Input Económico-financeiro'!$N$184,IF('Input Económico-financeiro'!$D$183=Lista!$A$148,Lista!$H$148*'Input Económico-financeiro'!$N$184,IF('Input Económico-financeiro'!$D$183=Lista!A149,Lista!H149*'Input Económico-financeiro'!N184,0))))+(IF('Input Económico-financeiro'!$D$186=Lista!$A$147,Lista!$H$147*'Input Económico-financeiro'!$N$187,IF('Input Económico-financeiro'!$D$186=Lista!$A$148,Lista!$H$148*'Input Económico-financeiro'!$N$187,IF('Input Económico-financeiro'!$D$186=Lista!A149,Lista!H149*'Input Económico-financeiro'!N187,0))))+(IF('Input Económico-financeiro'!$D$189=Lista!$A$147,Lista!$H$147*'Input Económico-financeiro'!$N$190,IF('Input Económico-financeiro'!$D$189=Lista!$A$148,Lista!$H$148*'Input Económico-financeiro'!$N$190,IF('Input Económico-financeiro'!$D$189=Lista!A149,Lista!H149*'Input Económico-financeiro'!N190,0))))+(IF('Input Económico-financeiro'!$D$192=Lista!$A$147,Lista!$H$147*'Input Económico-financeiro'!$N$193,IF('Input Económico-financeiro'!$D$192=Lista!$A$148,Lista!$H$148*'Input Económico-financeiro'!$N$193,IF('Input Económico-financeiro'!$D$192=Lista!A149,Lista!H149*'Input Económico-financeiro'!N193,0))))+(IF('Input Económico-financeiro'!$D$195=Lista!$A$147,Lista!$H$147*'Input Económico-financeiro'!$N$196,IF('Input Económico-financeiro'!$D$195=Lista!$A$148,Lista!$H$148*'Input Económico-financeiro'!$N$196,IF('Input Económico-financeiro'!$D$195=Lista!A149,Lista!H149*'Input Económico-financeiro'!N196,0))))+(IF('Input Económico-financeiro'!$D$198=Lista!$A$147,Lista!$H$147*'Input Económico-financeiro'!$N$199,IF('Input Económico-financeiro'!$D$198=Lista!$A$148,Lista!$H$148*'Input Económico-financeiro'!$N$199,IF('Input Económico-financeiro'!$D$198=Lista!A149,Lista!H149*'Input Económico-financeiro'!N199,0))))+(IF('Input Económico-financeiro'!$D$201=Lista!$A$147,Lista!$H$147*'Input Económico-financeiro'!$N$202,IF('Input Económico-financeiro'!$D$201=Lista!$A$148,Lista!$H$148*'Input Económico-financeiro'!$N$202,IF('Input Económico-financeiro'!$D$201=Lista!A149,Lista!H149*'Input Económico-financeiro'!N202,0)))))/F20,0)</f>
        <v>0</v>
      </c>
    </row>
    <row r="39" spans="1:6" x14ac:dyDescent="0.25">
      <c r="D39" s="98"/>
      <c r="E39" s="98"/>
      <c r="F39" s="98"/>
    </row>
    <row r="40" spans="1:6" x14ac:dyDescent="0.25">
      <c r="D40" s="98"/>
      <c r="E40" s="98"/>
      <c r="F40" s="98"/>
    </row>
    <row r="41" spans="1:6" x14ac:dyDescent="0.25">
      <c r="D41" s="98"/>
      <c r="E41" s="98"/>
      <c r="F41" s="98"/>
    </row>
  </sheetData>
  <sheetProtection algorithmName="SHA-512" hashValue="pmDwhswDxtQ80294DXPSqV2Ky70y7s8bd5TvtCNO0BApNVzroN7Ng+/dG+9BTvStBTLrJcRo+ic1zf3y8a0Iyg==" saltValue="Wg9wsbY+jeiC22SX4gxZEg==" spinCount="100000" sheet="1" objects="1" scenarios="1"/>
  <protectedRanges>
    <protectedRange sqref="A3:F4 D34:F35" name="Intervalo1"/>
    <protectedRange sqref="A2:F2" name="Intervalo1_1"/>
  </protectedRanges>
  <mergeCells count="4">
    <mergeCell ref="A1:F1"/>
    <mergeCell ref="A4:F4"/>
    <mergeCell ref="A3:F3"/>
    <mergeCell ref="A2:F2"/>
  </mergeCells>
  <phoneticPr fontId="32" type="noConversion"/>
  <conditionalFormatting sqref="D7:F17">
    <cfRule type="cellIs" dxfId="33" priority="2" operator="greaterThan">
      <formula>1</formula>
    </cfRule>
  </conditionalFormatting>
  <conditionalFormatting sqref="D21:F22">
    <cfRule type="cellIs" dxfId="32" priority="1" operator="greaterThan">
      <formula>1</formula>
    </cfRule>
  </conditionalFormatting>
  <dataValidations disablePrompts="1" count="1">
    <dataValidation allowBlank="1" showInputMessage="1" showErrorMessage="1" prompt="Indique o nome do município" sqref="A2:F2" xr:uid="{00000000-0002-0000-0100-000000000000}"/>
  </dataValidations>
  <pageMargins left="0.70866141732283472" right="0.70866141732283472" top="0.74803149606299213" bottom="0.74803149606299213" header="0.31496062992125984" footer="0.31496062992125984"/>
  <pageSetup paperSize="9" scale="72" orientation="landscape"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1000000}">
          <x14:formula1>
            <xm:f>Lista!$A$118:$A$125</xm:f>
          </x14:formula1>
          <xm:sqref>A4:F4</xm:sqref>
        </x14:dataValidation>
        <x14:dataValidation type="list" allowBlank="1" showInputMessage="1" showErrorMessage="1" xr:uid="{00000000-0002-0000-0100-000002000000}">
          <x14:formula1>
            <xm:f>Lista!$A$127:$A$137</xm:f>
          </x14:formula1>
          <xm:sqref>A3:F3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1:P41"/>
  <sheetViews>
    <sheetView zoomScaleNormal="100" workbookViewId="0">
      <pane xSplit="3" ySplit="2" topLeftCell="D3" activePane="bottomRight" state="frozen"/>
      <selection pane="topRight" activeCell="D1" sqref="D1"/>
      <selection pane="bottomLeft" activeCell="A3" sqref="A3"/>
      <selection pane="bottomRight" activeCell="D20" sqref="D20"/>
    </sheetView>
  </sheetViews>
  <sheetFormatPr defaultColWidth="8.85546875" defaultRowHeight="15" x14ac:dyDescent="0.25"/>
  <cols>
    <col min="1" max="1" width="8.85546875" style="99"/>
    <col min="2" max="2" width="61.5703125" style="99" bestFit="1" customWidth="1"/>
    <col min="3" max="3" width="9.7109375" style="99" bestFit="1" customWidth="1"/>
    <col min="4" max="4" width="15" style="99" customWidth="1"/>
    <col min="5" max="13" width="14.85546875" style="99" bestFit="1" customWidth="1"/>
    <col min="14" max="14" width="24.85546875" style="99" bestFit="1" customWidth="1"/>
    <col min="15" max="15" width="13.140625" style="99" customWidth="1"/>
    <col min="16" max="16" width="18.42578125" style="99" bestFit="1" customWidth="1"/>
    <col min="17" max="16384" width="8.85546875" style="99"/>
  </cols>
  <sheetData>
    <row r="1" spans="1:16" ht="18.75" x14ac:dyDescent="0.25">
      <c r="A1" s="362" t="s">
        <v>410</v>
      </c>
      <c r="B1" s="362"/>
      <c r="C1" s="362"/>
      <c r="D1" s="362"/>
      <c r="E1" s="362"/>
      <c r="F1" s="362"/>
      <c r="G1" s="362"/>
      <c r="H1" s="362"/>
      <c r="I1" s="362"/>
      <c r="J1" s="362"/>
      <c r="K1" s="362"/>
      <c r="L1" s="362"/>
      <c r="M1" s="362"/>
    </row>
    <row r="2" spans="1:16" ht="16.149999999999999" customHeight="1" x14ac:dyDescent="0.25">
      <c r="A2" s="71" t="s">
        <v>99</v>
      </c>
      <c r="B2" s="65" t="s">
        <v>107</v>
      </c>
      <c r="C2" s="71" t="s">
        <v>133</v>
      </c>
      <c r="D2" s="71">
        <v>2021</v>
      </c>
      <c r="E2" s="71">
        <v>2022</v>
      </c>
      <c r="F2" s="71">
        <v>2023</v>
      </c>
      <c r="G2" s="71">
        <v>2024</v>
      </c>
      <c r="H2" s="71">
        <v>2025</v>
      </c>
      <c r="I2" s="71">
        <v>2026</v>
      </c>
      <c r="J2" s="71">
        <v>2027</v>
      </c>
      <c r="K2" s="71">
        <v>2028</v>
      </c>
      <c r="L2" s="71">
        <v>2029</v>
      </c>
      <c r="M2" s="71">
        <v>2030</v>
      </c>
    </row>
    <row r="3" spans="1:16" x14ac:dyDescent="0.25">
      <c r="A3" s="145" t="s">
        <v>171</v>
      </c>
      <c r="B3" s="20" t="s">
        <v>134</v>
      </c>
      <c r="C3" s="20"/>
      <c r="D3" s="87"/>
      <c r="E3" s="87"/>
      <c r="F3" s="87"/>
      <c r="G3" s="87"/>
      <c r="H3" s="87"/>
      <c r="I3" s="87"/>
      <c r="J3" s="87"/>
      <c r="K3" s="87"/>
      <c r="L3" s="87"/>
      <c r="M3" s="87"/>
    </row>
    <row r="4" spans="1:16" x14ac:dyDescent="0.25">
      <c r="A4" s="154" t="s">
        <v>420</v>
      </c>
      <c r="B4" s="127" t="s">
        <v>219</v>
      </c>
      <c r="C4" s="76" t="s">
        <v>43</v>
      </c>
      <c r="D4" s="112">
        <f>D6+D5</f>
        <v>0</v>
      </c>
      <c r="E4" s="112">
        <f t="shared" ref="E4:M4" si="0">E6+E5</f>
        <v>0</v>
      </c>
      <c r="F4" s="112">
        <f t="shared" si="0"/>
        <v>0</v>
      </c>
      <c r="G4" s="112">
        <f t="shared" si="0"/>
        <v>0</v>
      </c>
      <c r="H4" s="112">
        <f t="shared" si="0"/>
        <v>0</v>
      </c>
      <c r="I4" s="112">
        <f t="shared" si="0"/>
        <v>0</v>
      </c>
      <c r="J4" s="112">
        <f t="shared" si="0"/>
        <v>0</v>
      </c>
      <c r="K4" s="112">
        <f t="shared" si="0"/>
        <v>0</v>
      </c>
      <c r="L4" s="112">
        <f t="shared" si="0"/>
        <v>0</v>
      </c>
      <c r="M4" s="112">
        <f t="shared" si="0"/>
        <v>0</v>
      </c>
    </row>
    <row r="5" spans="1:16" x14ac:dyDescent="0.25">
      <c r="A5" s="154" t="s">
        <v>421</v>
      </c>
      <c r="B5" s="150" t="s">
        <v>222</v>
      </c>
      <c r="C5" s="76" t="s">
        <v>43</v>
      </c>
      <c r="D5" s="112">
        <f>'Input Económico-financeiro'!E106</f>
        <v>0</v>
      </c>
      <c r="E5" s="112">
        <f>'Input Económico-financeiro'!F106</f>
        <v>0</v>
      </c>
      <c r="F5" s="112">
        <f>'Input Económico-financeiro'!G106</f>
        <v>0</v>
      </c>
      <c r="G5" s="112">
        <f>'Input Económico-financeiro'!H106</f>
        <v>0</v>
      </c>
      <c r="H5" s="112">
        <f>'Input Económico-financeiro'!I106</f>
        <v>0</v>
      </c>
      <c r="I5" s="112">
        <f>'Input Económico-financeiro'!J106</f>
        <v>0</v>
      </c>
      <c r="J5" s="112">
        <f>'Input Económico-financeiro'!K106</f>
        <v>0</v>
      </c>
      <c r="K5" s="112">
        <f>'Input Económico-financeiro'!L106</f>
        <v>0</v>
      </c>
      <c r="L5" s="112">
        <f>'Input Económico-financeiro'!M106</f>
        <v>0</v>
      </c>
      <c r="M5" s="112">
        <f>'Input Económico-financeiro'!N106</f>
        <v>0</v>
      </c>
    </row>
    <row r="6" spans="1:16" x14ac:dyDescent="0.25">
      <c r="A6" s="154" t="s">
        <v>422</v>
      </c>
      <c r="B6" s="150" t="s">
        <v>416</v>
      </c>
      <c r="C6" s="76" t="s">
        <v>43</v>
      </c>
      <c r="D6" s="112">
        <f>SUM(D9:D11)+SUM(D13)</f>
        <v>0</v>
      </c>
      <c r="E6" s="112">
        <f t="shared" ref="E6:M6" si="1">SUM(E9:E11)+SUM(E13)</f>
        <v>0</v>
      </c>
      <c r="F6" s="112">
        <f t="shared" si="1"/>
        <v>0</v>
      </c>
      <c r="G6" s="112">
        <f t="shared" si="1"/>
        <v>0</v>
      </c>
      <c r="H6" s="112">
        <f t="shared" si="1"/>
        <v>0</v>
      </c>
      <c r="I6" s="112">
        <f t="shared" si="1"/>
        <v>0</v>
      </c>
      <c r="J6" s="112">
        <f t="shared" si="1"/>
        <v>0</v>
      </c>
      <c r="K6" s="112">
        <f t="shared" si="1"/>
        <v>0</v>
      </c>
      <c r="L6" s="112">
        <f t="shared" si="1"/>
        <v>0</v>
      </c>
      <c r="M6" s="112">
        <f t="shared" si="1"/>
        <v>0</v>
      </c>
    </row>
    <row r="7" spans="1:16" x14ac:dyDescent="0.25">
      <c r="A7" s="154" t="s">
        <v>423</v>
      </c>
      <c r="B7" s="129" t="s">
        <v>53</v>
      </c>
      <c r="C7" s="83"/>
      <c r="D7" s="85"/>
      <c r="E7" s="85"/>
      <c r="F7" s="85"/>
      <c r="G7" s="85"/>
      <c r="H7" s="85"/>
      <c r="I7" s="85"/>
      <c r="J7" s="85"/>
      <c r="K7" s="85"/>
      <c r="L7" s="85"/>
      <c r="M7" s="85"/>
    </row>
    <row r="8" spans="1:16" x14ac:dyDescent="0.25">
      <c r="A8" s="154" t="s">
        <v>424</v>
      </c>
      <c r="B8" s="128" t="s">
        <v>54</v>
      </c>
      <c r="C8" s="83"/>
      <c r="D8" s="85"/>
      <c r="E8" s="85"/>
      <c r="F8" s="85"/>
      <c r="G8" s="85"/>
      <c r="H8" s="85"/>
      <c r="I8" s="85"/>
      <c r="J8" s="85"/>
      <c r="K8" s="85"/>
      <c r="L8" s="85"/>
      <c r="M8" s="85"/>
    </row>
    <row r="9" spans="1:16" x14ac:dyDescent="0.25">
      <c r="A9" s="154" t="s">
        <v>425</v>
      </c>
      <c r="B9" s="155" t="s">
        <v>46</v>
      </c>
      <c r="C9" s="76" t="s">
        <v>43</v>
      </c>
      <c r="D9" s="112">
        <f>'Input Económico-financeiro'!E12*'Input Económico-financeiro'!E13+'Input Económico-financeiro'!E15*'Input Económico-financeiro'!E16+'Input Económico-financeiro'!E18*'Input Económico-financeiro'!E19+'Input Económico-financeiro'!E21*'Input Económico-financeiro'!E22+'Input Económico-financeiro'!E24*'Input Económico-financeiro'!E25+'Input Económico-financeiro'!E27*'Input Económico-financeiro'!E28+'Input Económico-financeiro'!E30*'Input Económico-financeiro'!E31+'Input Económico-financeiro'!E33*'Input Económico-financeiro'!E34+'Input Económico-financeiro'!E36*'Input Económico-financeiro'!E37+'Input Económico-financeiro'!E39*'Input Económico-financeiro'!E40</f>
        <v>0</v>
      </c>
      <c r="E9" s="112">
        <f>'Input Económico-financeiro'!F12*'Input Económico-financeiro'!F13+'Input Económico-financeiro'!F15*'Input Económico-financeiro'!F16+'Input Económico-financeiro'!F18*'Input Económico-financeiro'!F19+'Input Económico-financeiro'!F21*'Input Económico-financeiro'!F22+'Input Económico-financeiro'!F24*'Input Económico-financeiro'!F25+'Input Económico-financeiro'!F27*'Input Económico-financeiro'!F28+'Input Económico-financeiro'!F30*'Input Económico-financeiro'!F31+'Input Económico-financeiro'!F33*'Input Económico-financeiro'!F34+'Input Económico-financeiro'!F36*'Input Económico-financeiro'!F37+'Input Económico-financeiro'!F39*'Input Económico-financeiro'!F40</f>
        <v>0</v>
      </c>
      <c r="F9" s="112">
        <f>'Input Económico-financeiro'!G12*'Input Económico-financeiro'!G13+'Input Económico-financeiro'!G15*'Input Económico-financeiro'!G16+'Input Económico-financeiro'!G18*'Input Económico-financeiro'!G19+'Input Económico-financeiro'!G21*'Input Económico-financeiro'!G22+'Input Económico-financeiro'!G24*'Input Económico-financeiro'!G25+'Input Económico-financeiro'!G27*'Input Económico-financeiro'!G28+'Input Económico-financeiro'!G30*'Input Económico-financeiro'!G31+'Input Económico-financeiro'!G33*'Input Económico-financeiro'!G34+'Input Económico-financeiro'!G36*'Input Económico-financeiro'!G37+'Input Económico-financeiro'!G39*'Input Económico-financeiro'!G40</f>
        <v>0</v>
      </c>
      <c r="G9" s="112">
        <f>'Input Económico-financeiro'!H12*'Input Económico-financeiro'!H13+'Input Económico-financeiro'!H15*'Input Económico-financeiro'!H16+'Input Económico-financeiro'!H18*'Input Económico-financeiro'!H19+'Input Económico-financeiro'!H21*'Input Económico-financeiro'!H22+'Input Económico-financeiro'!H24*'Input Económico-financeiro'!H25+'Input Económico-financeiro'!H27*'Input Económico-financeiro'!H28+'Input Económico-financeiro'!H30*'Input Económico-financeiro'!H31+'Input Económico-financeiro'!H33*'Input Económico-financeiro'!H34+'Input Económico-financeiro'!H36*'Input Económico-financeiro'!H37+'Input Económico-financeiro'!H39*'Input Económico-financeiro'!H40</f>
        <v>0</v>
      </c>
      <c r="H9" s="112">
        <f>'Input Económico-financeiro'!I12*'Input Económico-financeiro'!I13+'Input Económico-financeiro'!I15*'Input Económico-financeiro'!I16+'Input Económico-financeiro'!I18*'Input Económico-financeiro'!I19+'Input Económico-financeiro'!I21*'Input Económico-financeiro'!I22+'Input Económico-financeiro'!I24*'Input Económico-financeiro'!I25+'Input Económico-financeiro'!I27*'Input Económico-financeiro'!I28+'Input Económico-financeiro'!I30*'Input Económico-financeiro'!I31+'Input Económico-financeiro'!I33*'Input Económico-financeiro'!I34+'Input Económico-financeiro'!I36*'Input Económico-financeiro'!I37+'Input Económico-financeiro'!I39*'Input Económico-financeiro'!I40</f>
        <v>0</v>
      </c>
      <c r="I9" s="112">
        <f>'Input Económico-financeiro'!J12*'Input Económico-financeiro'!J13+'Input Económico-financeiro'!J15*'Input Económico-financeiro'!J16+'Input Económico-financeiro'!J18*'Input Económico-financeiro'!J19+'Input Económico-financeiro'!J21*'Input Económico-financeiro'!J22+'Input Económico-financeiro'!J24*'Input Económico-financeiro'!J25+'Input Económico-financeiro'!J27*'Input Económico-financeiro'!J28+'Input Económico-financeiro'!J30*'Input Económico-financeiro'!J31+'Input Económico-financeiro'!J33*'Input Económico-financeiro'!J34+'Input Económico-financeiro'!J36*'Input Económico-financeiro'!J37+'Input Económico-financeiro'!J39*'Input Económico-financeiro'!J40</f>
        <v>0</v>
      </c>
      <c r="J9" s="112">
        <f>'Input Económico-financeiro'!K12*'Input Económico-financeiro'!K13+'Input Económico-financeiro'!K15*'Input Económico-financeiro'!K16+'Input Económico-financeiro'!K18*'Input Económico-financeiro'!K19+'Input Económico-financeiro'!K21*'Input Económico-financeiro'!K22+'Input Económico-financeiro'!K24*'Input Económico-financeiro'!K25+'Input Económico-financeiro'!K27*'Input Económico-financeiro'!K28+'Input Económico-financeiro'!K30*'Input Económico-financeiro'!K31+'Input Económico-financeiro'!K33*'Input Económico-financeiro'!K34+'Input Económico-financeiro'!K36*'Input Económico-financeiro'!K37+'Input Económico-financeiro'!K39*'Input Económico-financeiro'!K40</f>
        <v>0</v>
      </c>
      <c r="K9" s="112">
        <f>'Input Económico-financeiro'!L12*'Input Económico-financeiro'!L13+'Input Económico-financeiro'!L15*'Input Económico-financeiro'!L16+'Input Económico-financeiro'!L18*'Input Económico-financeiro'!L19+'Input Económico-financeiro'!L21*'Input Económico-financeiro'!L22+'Input Económico-financeiro'!L24*'Input Económico-financeiro'!L25+'Input Económico-financeiro'!L27*'Input Económico-financeiro'!L28+'Input Económico-financeiro'!L30*'Input Económico-financeiro'!L31+'Input Económico-financeiro'!L33*'Input Económico-financeiro'!L34+'Input Económico-financeiro'!L36*'Input Económico-financeiro'!L37+'Input Económico-financeiro'!L39*'Input Económico-financeiro'!L40</f>
        <v>0</v>
      </c>
      <c r="L9" s="112">
        <f>'Input Económico-financeiro'!M12*'Input Económico-financeiro'!M13+'Input Económico-financeiro'!M15*'Input Económico-financeiro'!M16+'Input Económico-financeiro'!M18*'Input Económico-financeiro'!M19+'Input Económico-financeiro'!M21*'Input Económico-financeiro'!M22+'Input Económico-financeiro'!M24*'Input Económico-financeiro'!M25+'Input Económico-financeiro'!M27*'Input Económico-financeiro'!M28+'Input Económico-financeiro'!M30*'Input Económico-financeiro'!M31+'Input Económico-financeiro'!M33*'Input Económico-financeiro'!M34+'Input Económico-financeiro'!M36*'Input Económico-financeiro'!M37+'Input Económico-financeiro'!M39*'Input Económico-financeiro'!M40</f>
        <v>0</v>
      </c>
      <c r="M9" s="112">
        <f>'Input Económico-financeiro'!N12*'Input Económico-financeiro'!N13+'Input Económico-financeiro'!N15*'Input Económico-financeiro'!N16+'Input Económico-financeiro'!N18*'Input Económico-financeiro'!N19+'Input Económico-financeiro'!N21*'Input Económico-financeiro'!N22+'Input Económico-financeiro'!N24*'Input Económico-financeiro'!N25+'Input Económico-financeiro'!N27*'Input Económico-financeiro'!N28+'Input Económico-financeiro'!N30*'Input Económico-financeiro'!N31+'Input Económico-financeiro'!N33*'Input Económico-financeiro'!N34+'Input Económico-financeiro'!N36*'Input Económico-financeiro'!N37+'Input Económico-financeiro'!N39*'Input Económico-financeiro'!N40</f>
        <v>0</v>
      </c>
      <c r="N9" s="100"/>
    </row>
    <row r="10" spans="1:16" x14ac:dyDescent="0.25">
      <c r="A10" s="154" t="s">
        <v>426</v>
      </c>
      <c r="B10" s="155" t="s">
        <v>44</v>
      </c>
      <c r="C10" s="76" t="s">
        <v>43</v>
      </c>
      <c r="D10" s="112">
        <f>'Input Económico-financeiro'!E43*'Input Económico-financeiro'!E44+'Input Económico-financeiro'!E46*'Input Económico-financeiro'!E47+'Input Económico-financeiro'!E49*'Input Económico-financeiro'!E50+'Input Económico-financeiro'!E52*'Input Económico-financeiro'!E53+'Input Económico-financeiro'!E55*'Input Económico-financeiro'!E56+'Input Económico-financeiro'!E58*'Input Económico-financeiro'!E59+'Input Económico-financeiro'!E61*'Input Económico-financeiro'!E62+'Input Económico-financeiro'!E64*'Input Económico-financeiro'!E65+'Input Económico-financeiro'!E68*'Input Económico-financeiro'!E69+'Input Económico-financeiro'!E71*'Input Económico-financeiro'!E72+'Input Económico-financeiro'!E74*'Input Económico-financeiro'!E75</f>
        <v>0</v>
      </c>
      <c r="E10" s="112">
        <f>'Input Económico-financeiro'!F43*'Input Económico-financeiro'!F44+'Input Económico-financeiro'!F46*'Input Económico-financeiro'!F47+'Input Económico-financeiro'!F49*'Input Económico-financeiro'!F50+'Input Económico-financeiro'!F52*'Input Económico-financeiro'!F53+'Input Económico-financeiro'!F55*'Input Económico-financeiro'!F56+'Input Económico-financeiro'!F58*'Input Económico-financeiro'!F59+'Input Económico-financeiro'!F61*'Input Económico-financeiro'!F62+'Input Económico-financeiro'!F64*'Input Económico-financeiro'!F65+'Input Económico-financeiro'!F68*'Input Económico-financeiro'!F69+'Input Económico-financeiro'!F71*'Input Económico-financeiro'!F72+'Input Económico-financeiro'!F74*'Input Económico-financeiro'!F75</f>
        <v>0</v>
      </c>
      <c r="F10" s="112">
        <f>'Input Económico-financeiro'!G43*'Input Económico-financeiro'!G44+'Input Económico-financeiro'!G46*'Input Económico-financeiro'!G47+'Input Económico-financeiro'!G49*'Input Económico-financeiro'!G50+'Input Económico-financeiro'!G52*'Input Económico-financeiro'!G53+'Input Económico-financeiro'!G55*'Input Económico-financeiro'!G56+'Input Económico-financeiro'!G58*'Input Económico-financeiro'!G59+'Input Económico-financeiro'!G61*'Input Económico-financeiro'!G62+'Input Económico-financeiro'!G64*'Input Económico-financeiro'!G65+'Input Económico-financeiro'!G68*'Input Económico-financeiro'!G69+'Input Económico-financeiro'!G71*'Input Económico-financeiro'!G72+'Input Económico-financeiro'!G74*'Input Económico-financeiro'!G75</f>
        <v>0</v>
      </c>
      <c r="G10" s="112">
        <f>'Input Económico-financeiro'!H43*'Input Económico-financeiro'!H44+'Input Económico-financeiro'!H46*'Input Económico-financeiro'!H47+'Input Económico-financeiro'!H49*'Input Económico-financeiro'!H50+'Input Económico-financeiro'!H52*'Input Económico-financeiro'!H53+'Input Económico-financeiro'!H55*'Input Económico-financeiro'!H56+'Input Económico-financeiro'!H58*'Input Económico-financeiro'!H59+'Input Económico-financeiro'!H61*'Input Económico-financeiro'!H62+'Input Económico-financeiro'!H64*'Input Económico-financeiro'!H65+'Input Económico-financeiro'!H68*'Input Económico-financeiro'!H69+'Input Económico-financeiro'!H71*'Input Económico-financeiro'!H72+'Input Económico-financeiro'!H74*'Input Económico-financeiro'!H75</f>
        <v>0</v>
      </c>
      <c r="H10" s="112">
        <f>'Input Económico-financeiro'!I43*'Input Económico-financeiro'!I44+'Input Económico-financeiro'!I46*'Input Económico-financeiro'!I47+'Input Económico-financeiro'!I49*'Input Económico-financeiro'!I50+'Input Económico-financeiro'!I52*'Input Económico-financeiro'!I53+'Input Económico-financeiro'!I55*'Input Económico-financeiro'!I56+'Input Económico-financeiro'!I58*'Input Económico-financeiro'!I59+'Input Económico-financeiro'!I61*'Input Económico-financeiro'!I62+'Input Económico-financeiro'!I64*'Input Económico-financeiro'!I65+'Input Económico-financeiro'!I68*'Input Económico-financeiro'!I69+'Input Económico-financeiro'!I71*'Input Económico-financeiro'!I72+'Input Económico-financeiro'!I74*'Input Económico-financeiro'!I75</f>
        <v>0</v>
      </c>
      <c r="I10" s="112">
        <f>'Input Económico-financeiro'!J43*'Input Económico-financeiro'!J44+'Input Económico-financeiro'!J46*'Input Económico-financeiro'!J47+'Input Económico-financeiro'!J49*'Input Económico-financeiro'!J50+'Input Económico-financeiro'!J52*'Input Económico-financeiro'!J53+'Input Económico-financeiro'!J55*'Input Económico-financeiro'!J56+'Input Económico-financeiro'!J58*'Input Económico-financeiro'!J59+'Input Económico-financeiro'!J61*'Input Económico-financeiro'!J62+'Input Económico-financeiro'!J64*'Input Económico-financeiro'!J65+'Input Económico-financeiro'!J68*'Input Económico-financeiro'!J69+'Input Económico-financeiro'!J71*'Input Económico-financeiro'!J72+'Input Económico-financeiro'!J74*'Input Económico-financeiro'!J75</f>
        <v>0</v>
      </c>
      <c r="J10" s="112">
        <f>'Input Económico-financeiro'!K43*'Input Económico-financeiro'!K44+'Input Económico-financeiro'!K46*'Input Económico-financeiro'!K47+'Input Económico-financeiro'!K49*'Input Económico-financeiro'!K50+'Input Económico-financeiro'!K52*'Input Económico-financeiro'!K53+'Input Económico-financeiro'!K55*'Input Económico-financeiro'!K56+'Input Económico-financeiro'!K58*'Input Económico-financeiro'!K59+'Input Económico-financeiro'!K61*'Input Económico-financeiro'!K62+'Input Económico-financeiro'!K64*'Input Económico-financeiro'!K65+'Input Económico-financeiro'!K68*'Input Económico-financeiro'!K69+'Input Económico-financeiro'!K71*'Input Económico-financeiro'!K72+'Input Económico-financeiro'!K74*'Input Económico-financeiro'!K75</f>
        <v>0</v>
      </c>
      <c r="K10" s="112">
        <f>'Input Económico-financeiro'!L43*'Input Económico-financeiro'!L44+'Input Económico-financeiro'!L46*'Input Económico-financeiro'!L47+'Input Económico-financeiro'!L49*'Input Económico-financeiro'!L50+'Input Económico-financeiro'!L52*'Input Económico-financeiro'!L53+'Input Económico-financeiro'!L55*'Input Económico-financeiro'!L56+'Input Económico-financeiro'!L58*'Input Económico-financeiro'!L59+'Input Económico-financeiro'!L61*'Input Económico-financeiro'!L62+'Input Económico-financeiro'!L64*'Input Económico-financeiro'!L65+'Input Económico-financeiro'!L68*'Input Económico-financeiro'!L69+'Input Económico-financeiro'!L71*'Input Económico-financeiro'!L72+'Input Económico-financeiro'!L74*'Input Económico-financeiro'!L75</f>
        <v>0</v>
      </c>
      <c r="L10" s="112">
        <f>'Input Económico-financeiro'!M43*'Input Económico-financeiro'!M44+'Input Económico-financeiro'!M46*'Input Económico-financeiro'!M47+'Input Económico-financeiro'!M49*'Input Económico-financeiro'!M50+'Input Económico-financeiro'!M52*'Input Económico-financeiro'!M53+'Input Económico-financeiro'!M55*'Input Económico-financeiro'!M56+'Input Económico-financeiro'!M58*'Input Económico-financeiro'!M59+'Input Económico-financeiro'!M61*'Input Económico-financeiro'!M62+'Input Económico-financeiro'!M64*'Input Económico-financeiro'!M65+'Input Económico-financeiro'!M68*'Input Económico-financeiro'!M69+'Input Económico-financeiro'!M71*'Input Económico-financeiro'!M72+'Input Económico-financeiro'!M74*'Input Económico-financeiro'!M75</f>
        <v>0</v>
      </c>
      <c r="M10" s="112">
        <f>'Input Económico-financeiro'!N43*'Input Económico-financeiro'!N44+'Input Económico-financeiro'!N46*'Input Económico-financeiro'!N47+'Input Económico-financeiro'!N49*'Input Económico-financeiro'!N50+'Input Económico-financeiro'!N52*'Input Económico-financeiro'!N53+'Input Económico-financeiro'!N55*'Input Económico-financeiro'!N56+'Input Económico-financeiro'!N58*'Input Económico-financeiro'!N59+'Input Económico-financeiro'!N61*'Input Económico-financeiro'!N62+'Input Económico-financeiro'!N64*'Input Económico-financeiro'!N65+'Input Económico-financeiro'!N68*'Input Económico-financeiro'!N69+'Input Económico-financeiro'!N71*'Input Económico-financeiro'!N72+'Input Económico-financeiro'!N74*'Input Económico-financeiro'!N75</f>
        <v>0</v>
      </c>
      <c r="N10" s="100"/>
    </row>
    <row r="11" spans="1:16" x14ac:dyDescent="0.25">
      <c r="A11" s="154" t="s">
        <v>427</v>
      </c>
      <c r="B11" s="155" t="s">
        <v>223</v>
      </c>
      <c r="C11" s="76" t="s">
        <v>43</v>
      </c>
      <c r="D11" s="112">
        <f>'Input Económico-financeiro'!E78*'Input Económico-financeiro'!E79+'Input Económico-financeiro'!E81*'Input Económico-financeiro'!E82+'Input Económico-financeiro'!E84*'Input Económico-financeiro'!E85+'Input Económico-financeiro'!E87*'Input Económico-financeiro'!E88+'Input Económico-financeiro'!E90*'Input Económico-financeiro'!E91+'Input Económico-financeiro'!E93*'Input Económico-financeiro'!E94</f>
        <v>0</v>
      </c>
      <c r="E11" s="112">
        <f>'Input Económico-financeiro'!F78*'Input Económico-financeiro'!F79+'Input Económico-financeiro'!F81*'Input Económico-financeiro'!F82+'Input Económico-financeiro'!F84*'Input Económico-financeiro'!F85+'Input Económico-financeiro'!F87*'Input Económico-financeiro'!F88+'Input Económico-financeiro'!F90*'Input Económico-financeiro'!F91+'Input Económico-financeiro'!F93*'Input Económico-financeiro'!F94</f>
        <v>0</v>
      </c>
      <c r="F11" s="112">
        <f>'Input Económico-financeiro'!G78*'Input Económico-financeiro'!G79+'Input Económico-financeiro'!G81*'Input Económico-financeiro'!G82+'Input Económico-financeiro'!G84*'Input Económico-financeiro'!G85+'Input Económico-financeiro'!G87*'Input Económico-financeiro'!G88+'Input Económico-financeiro'!G90*'Input Económico-financeiro'!G91+'Input Económico-financeiro'!G93*'Input Económico-financeiro'!G94</f>
        <v>0</v>
      </c>
      <c r="G11" s="112">
        <f>'Input Económico-financeiro'!H78*'Input Económico-financeiro'!H79+'Input Económico-financeiro'!H81*'Input Económico-financeiro'!H82+'Input Económico-financeiro'!H84*'Input Económico-financeiro'!H85+'Input Económico-financeiro'!H87*'Input Económico-financeiro'!H88+'Input Económico-financeiro'!H90*'Input Económico-financeiro'!H91+'Input Económico-financeiro'!H93*'Input Económico-financeiro'!H94</f>
        <v>0</v>
      </c>
      <c r="H11" s="112">
        <f>'Input Económico-financeiro'!I78*'Input Económico-financeiro'!I79+'Input Económico-financeiro'!I81*'Input Económico-financeiro'!I82+'Input Económico-financeiro'!I84*'Input Económico-financeiro'!I85+'Input Económico-financeiro'!I87*'Input Económico-financeiro'!I88+'Input Económico-financeiro'!I90*'Input Económico-financeiro'!I91+'Input Económico-financeiro'!I93*'Input Económico-financeiro'!I94</f>
        <v>0</v>
      </c>
      <c r="I11" s="112">
        <f>'Input Económico-financeiro'!J78*'Input Económico-financeiro'!J79+'Input Económico-financeiro'!J81*'Input Económico-financeiro'!J82+'Input Económico-financeiro'!J84*'Input Económico-financeiro'!J85+'Input Económico-financeiro'!J87*'Input Económico-financeiro'!J88+'Input Económico-financeiro'!J90*'Input Económico-financeiro'!J91+'Input Económico-financeiro'!J93*'Input Económico-financeiro'!J94</f>
        <v>0</v>
      </c>
      <c r="J11" s="112">
        <f>'Input Económico-financeiro'!K78*'Input Económico-financeiro'!K79+'Input Económico-financeiro'!K81*'Input Económico-financeiro'!K82+'Input Económico-financeiro'!K84*'Input Económico-financeiro'!K85+'Input Económico-financeiro'!K87*'Input Económico-financeiro'!K88+'Input Económico-financeiro'!K90*'Input Económico-financeiro'!K91+'Input Económico-financeiro'!K93*'Input Económico-financeiro'!K94</f>
        <v>0</v>
      </c>
      <c r="K11" s="112">
        <f>'Input Económico-financeiro'!L78*'Input Económico-financeiro'!L79+'Input Económico-financeiro'!L81*'Input Económico-financeiro'!L82+'Input Económico-financeiro'!L84*'Input Económico-financeiro'!L85+'Input Económico-financeiro'!L87*'Input Económico-financeiro'!L88+'Input Económico-financeiro'!L90*'Input Económico-financeiro'!L91+'Input Económico-financeiro'!L93*'Input Económico-financeiro'!L94</f>
        <v>0</v>
      </c>
      <c r="L11" s="112">
        <f>'Input Económico-financeiro'!M78*'Input Económico-financeiro'!M79+'Input Económico-financeiro'!M81*'Input Económico-financeiro'!M82+'Input Económico-financeiro'!M84*'Input Económico-financeiro'!M85+'Input Económico-financeiro'!M87*'Input Económico-financeiro'!M88+'Input Económico-financeiro'!M90*'Input Económico-financeiro'!M91+'Input Económico-financeiro'!M93*'Input Económico-financeiro'!M94</f>
        <v>0</v>
      </c>
      <c r="M11" s="112">
        <f>'Input Económico-financeiro'!N78*'Input Económico-financeiro'!N79+'Input Económico-financeiro'!N81*'Input Económico-financeiro'!N82+'Input Económico-financeiro'!N84*'Input Económico-financeiro'!N85+'Input Económico-financeiro'!N87*'Input Económico-financeiro'!N88+'Input Económico-financeiro'!N90*'Input Económico-financeiro'!N91+'Input Económico-financeiro'!N93*'Input Económico-financeiro'!N94</f>
        <v>0</v>
      </c>
    </row>
    <row r="12" spans="1:16" x14ac:dyDescent="0.25">
      <c r="A12" s="154" t="s">
        <v>428</v>
      </c>
      <c r="B12" s="156" t="s">
        <v>55</v>
      </c>
      <c r="C12" s="83"/>
      <c r="D12" s="84"/>
      <c r="E12" s="84"/>
      <c r="F12" s="84"/>
      <c r="G12" s="84"/>
      <c r="H12" s="84"/>
      <c r="I12" s="84"/>
      <c r="J12" s="84"/>
      <c r="K12" s="84"/>
      <c r="L12" s="84"/>
      <c r="M12" s="84"/>
      <c r="O12" s="248"/>
      <c r="P12" s="250"/>
    </row>
    <row r="13" spans="1:16" x14ac:dyDescent="0.25">
      <c r="A13" s="154" t="s">
        <v>429</v>
      </c>
      <c r="B13" s="130" t="s">
        <v>220</v>
      </c>
      <c r="C13" s="76" t="s">
        <v>43</v>
      </c>
      <c r="D13" s="112">
        <f>'Input Económico-financeiro'!E98*'Input Económico-financeiro'!E97+'Input Económico-financeiro'!E100*'Input Económico-financeiro'!E101+'Input Económico-financeiro'!E103*'Input Económico-financeiro'!E104</f>
        <v>0</v>
      </c>
      <c r="E13" s="112">
        <f>'Input Económico-financeiro'!F98*'Input Económico-financeiro'!F97+'Input Económico-financeiro'!F100*'Input Económico-financeiro'!F101+'Input Económico-financeiro'!F103*'Input Económico-financeiro'!F104</f>
        <v>0</v>
      </c>
      <c r="F13" s="112">
        <f>'Input Económico-financeiro'!G98*'Input Económico-financeiro'!G97+'Input Económico-financeiro'!G100*'Input Económico-financeiro'!G101+'Input Económico-financeiro'!G103*'Input Económico-financeiro'!G104</f>
        <v>0</v>
      </c>
      <c r="G13" s="112">
        <f>'Input Económico-financeiro'!H98*'Input Económico-financeiro'!H97+'Input Económico-financeiro'!H100*'Input Económico-financeiro'!H101+'Input Económico-financeiro'!H103*'Input Económico-financeiro'!H104</f>
        <v>0</v>
      </c>
      <c r="H13" s="112">
        <f>'Input Económico-financeiro'!I98*'Input Económico-financeiro'!I97+'Input Económico-financeiro'!I100*'Input Económico-financeiro'!I101+'Input Económico-financeiro'!I103*'Input Económico-financeiro'!I104</f>
        <v>0</v>
      </c>
      <c r="I13" s="112">
        <f>'Input Económico-financeiro'!J98*'Input Económico-financeiro'!J97+'Input Económico-financeiro'!J100*'Input Económico-financeiro'!J101+'Input Económico-financeiro'!J103*'Input Económico-financeiro'!J104</f>
        <v>0</v>
      </c>
      <c r="J13" s="112">
        <f>'Input Económico-financeiro'!K98*'Input Económico-financeiro'!K97+'Input Económico-financeiro'!K100*'Input Económico-financeiro'!K101+'Input Económico-financeiro'!K103*'Input Económico-financeiro'!K104</f>
        <v>0</v>
      </c>
      <c r="K13" s="112">
        <f>'Input Económico-financeiro'!L98*'Input Económico-financeiro'!L97+'Input Económico-financeiro'!L100*'Input Económico-financeiro'!L101+'Input Económico-financeiro'!L103*'Input Económico-financeiro'!L104</f>
        <v>0</v>
      </c>
      <c r="L13" s="112">
        <f>'Input Económico-financeiro'!M98*'Input Económico-financeiro'!M97+'Input Económico-financeiro'!M100*'Input Económico-financeiro'!M101+'Input Económico-financeiro'!M103*'Input Económico-financeiro'!M104</f>
        <v>0</v>
      </c>
      <c r="M13" s="112">
        <f>'Input Económico-financeiro'!N98*'Input Económico-financeiro'!N97+'Input Económico-financeiro'!N100*'Input Económico-financeiro'!N101+'Input Económico-financeiro'!N103*'Input Económico-financeiro'!N104</f>
        <v>0</v>
      </c>
      <c r="N13" s="229"/>
      <c r="O13" s="229"/>
      <c r="P13" s="249"/>
    </row>
    <row r="14" spans="1:16" x14ac:dyDescent="0.25">
      <c r="A14" s="145" t="s">
        <v>172</v>
      </c>
      <c r="B14" s="20" t="s">
        <v>125</v>
      </c>
      <c r="C14" s="20"/>
      <c r="D14" s="38"/>
      <c r="E14" s="38"/>
      <c r="F14" s="38"/>
      <c r="G14" s="38"/>
      <c r="H14" s="38"/>
      <c r="I14" s="38"/>
      <c r="J14" s="38"/>
      <c r="K14" s="38"/>
      <c r="L14" s="38"/>
      <c r="M14" s="38"/>
      <c r="O14" s="248"/>
    </row>
    <row r="15" spans="1:16" x14ac:dyDescent="0.25">
      <c r="A15" s="146" t="s">
        <v>173</v>
      </c>
      <c r="B15" s="197" t="s">
        <v>56</v>
      </c>
      <c r="C15" s="39"/>
      <c r="D15" s="40"/>
      <c r="E15" s="40"/>
      <c r="F15" s="40"/>
      <c r="G15" s="40"/>
      <c r="H15" s="40"/>
      <c r="I15" s="40"/>
      <c r="J15" s="40"/>
      <c r="K15" s="40"/>
      <c r="L15" s="40"/>
      <c r="M15" s="40"/>
    </row>
    <row r="16" spans="1:16" x14ac:dyDescent="0.25">
      <c r="A16" s="131" t="s">
        <v>385</v>
      </c>
      <c r="B16" s="86" t="s">
        <v>144</v>
      </c>
      <c r="C16" s="76" t="s">
        <v>43</v>
      </c>
      <c r="D16" s="112">
        <f t="shared" ref="D16" si="2">D17+D21</f>
        <v>0</v>
      </c>
      <c r="E16" s="112">
        <f t="shared" ref="E16:L16" si="3">E17+E21</f>
        <v>0</v>
      </c>
      <c r="F16" s="112">
        <f t="shared" si="3"/>
        <v>0</v>
      </c>
      <c r="G16" s="112">
        <f t="shared" si="3"/>
        <v>0</v>
      </c>
      <c r="H16" s="112">
        <f t="shared" si="3"/>
        <v>0</v>
      </c>
      <c r="I16" s="112">
        <f t="shared" si="3"/>
        <v>0</v>
      </c>
      <c r="J16" s="112">
        <f t="shared" si="3"/>
        <v>0</v>
      </c>
      <c r="K16" s="112">
        <f t="shared" si="3"/>
        <v>0</v>
      </c>
      <c r="L16" s="112">
        <f t="shared" si="3"/>
        <v>0</v>
      </c>
      <c r="M16" s="112">
        <f>M17+M21</f>
        <v>0</v>
      </c>
    </row>
    <row r="17" spans="1:16" x14ac:dyDescent="0.25">
      <c r="A17" s="131" t="s">
        <v>386</v>
      </c>
      <c r="B17" s="86" t="s">
        <v>145</v>
      </c>
      <c r="C17" s="76" t="s">
        <v>43</v>
      </c>
      <c r="D17" s="112">
        <f>SUM(D18,D20)</f>
        <v>0</v>
      </c>
      <c r="E17" s="112">
        <f t="shared" ref="E17:M17" si="4">SUM(E18,E20)</f>
        <v>0</v>
      </c>
      <c r="F17" s="112">
        <f t="shared" si="4"/>
        <v>0</v>
      </c>
      <c r="G17" s="112">
        <f t="shared" si="4"/>
        <v>0</v>
      </c>
      <c r="H17" s="112">
        <f t="shared" si="4"/>
        <v>0</v>
      </c>
      <c r="I17" s="112">
        <f t="shared" si="4"/>
        <v>0</v>
      </c>
      <c r="J17" s="112">
        <f t="shared" si="4"/>
        <v>0</v>
      </c>
      <c r="K17" s="112">
        <f t="shared" si="4"/>
        <v>0</v>
      </c>
      <c r="L17" s="112">
        <f t="shared" si="4"/>
        <v>0</v>
      </c>
      <c r="M17" s="112">
        <f t="shared" si="4"/>
        <v>0</v>
      </c>
      <c r="P17" s="230"/>
    </row>
    <row r="18" spans="1:16" x14ac:dyDescent="0.25">
      <c r="A18" s="131" t="s">
        <v>387</v>
      </c>
      <c r="B18" s="252" t="s">
        <v>678</v>
      </c>
      <c r="C18" s="76" t="s">
        <v>43</v>
      </c>
      <c r="D18" s="112">
        <f>IFERROR('Input Económico-financeiro'!E109*('Input Técnico'!$O$57+'Input Técnico'!$O$75)*('Input Técnico'!F111/('Input Técnico'!F16+'Input Técnico'!F111))-D19,0)</f>
        <v>0</v>
      </c>
      <c r="E18" s="112">
        <f>IFERROR('Input Económico-financeiro'!F109*('Input Técnico'!$O$57+'Input Técnico'!$O$75)*('Input Técnico'!G111/('Input Técnico'!G16+'Input Técnico'!G111))-E19,0)</f>
        <v>0</v>
      </c>
      <c r="F18" s="112">
        <f>IFERROR('Input Económico-financeiro'!G109*('Input Técnico'!$O$57+'Input Técnico'!$O$75)*('Input Técnico'!H111/('Input Técnico'!H16+'Input Técnico'!H111))-F19,0)</f>
        <v>0</v>
      </c>
      <c r="G18" s="112">
        <f>IFERROR('Input Económico-financeiro'!H109*('Input Técnico'!$O$57+'Input Técnico'!$O$75)*('Input Técnico'!I111/('Input Técnico'!I16+'Input Técnico'!I111))-G19,0)</f>
        <v>0</v>
      </c>
      <c r="H18" s="112">
        <f>IFERROR('Input Económico-financeiro'!I109*('Input Técnico'!$O$57+'Input Técnico'!$O$75)*('Input Técnico'!J111/('Input Técnico'!J16+'Input Técnico'!J111))-H19,0)</f>
        <v>0</v>
      </c>
      <c r="I18" s="112">
        <f>IFERROR('Input Económico-financeiro'!J109*('Input Técnico'!$O$57+'Input Técnico'!$O$75)*('Input Técnico'!K111/('Input Técnico'!K16+'Input Técnico'!K111))-I19,0)</f>
        <v>0</v>
      </c>
      <c r="J18" s="112">
        <f>IFERROR('Input Económico-financeiro'!K109*('Input Técnico'!$O$57+'Input Técnico'!$O$75)*('Input Técnico'!L111/('Input Técnico'!L16+'Input Técnico'!L111))-J19,0)</f>
        <v>0</v>
      </c>
      <c r="K18" s="112">
        <f>IFERROR('Input Económico-financeiro'!L109*('Input Técnico'!$O$57+'Input Técnico'!$O$75)*('Input Técnico'!M111/('Input Técnico'!M16+'Input Técnico'!M111))-K19,0)</f>
        <v>0</v>
      </c>
      <c r="L18" s="112">
        <f>IFERROR('Input Económico-financeiro'!M109*('Input Técnico'!$O$57+'Input Técnico'!$O$75)*('Input Técnico'!N111/('Input Técnico'!N16+'Input Técnico'!N111))-L19,0)</f>
        <v>0</v>
      </c>
      <c r="M18" s="112">
        <f>IFERROR('Input Económico-financeiro'!N109*('Input Técnico'!$O$57+'Input Técnico'!$O$75)*('Input Técnico'!O111/('Input Técnico'!O16+'Input Técnico'!O111))-M19,0)</f>
        <v>0</v>
      </c>
    </row>
    <row r="19" spans="1:16" x14ac:dyDescent="0.25">
      <c r="A19" s="231" t="s">
        <v>606</v>
      </c>
      <c r="B19" s="253" t="s">
        <v>677</v>
      </c>
      <c r="C19" s="76" t="s">
        <v>43</v>
      </c>
      <c r="D19" s="112">
        <f>IFERROR(('Input Económico-financeiro'!E112*('Input Técnico'!F114+'Input Técnico'!F115+'Input Técnico'!F118+'Input Técnico'!F119+'Input Técnico'!F123+'Input Técnico'!F124+'Input Técnico'!F127)),0)</f>
        <v>0</v>
      </c>
      <c r="E19" s="112">
        <f>IFERROR(('Input Económico-financeiro'!F112*('Input Técnico'!G114+'Input Técnico'!G115+'Input Técnico'!G118+'Input Técnico'!G119+'Input Técnico'!G123+'Input Técnico'!G124+'Input Técnico'!G127)),0)</f>
        <v>0</v>
      </c>
      <c r="F19" s="112">
        <f>IFERROR(('Input Económico-financeiro'!G112*('Input Técnico'!H114+'Input Técnico'!H115+'Input Técnico'!H118+'Input Técnico'!H119+'Input Técnico'!H123+'Input Técnico'!H124+'Input Técnico'!H127)),0)</f>
        <v>0</v>
      </c>
      <c r="G19" s="112">
        <f>IFERROR(('Input Económico-financeiro'!H112*('Input Técnico'!I114+'Input Técnico'!I115+'Input Técnico'!I118+'Input Técnico'!I119+'Input Técnico'!I123+'Input Técnico'!I124+'Input Técnico'!I127)),0)</f>
        <v>0</v>
      </c>
      <c r="H19" s="112">
        <f>IFERROR(('Input Económico-financeiro'!I112*('Input Técnico'!J114+'Input Técnico'!J115+'Input Técnico'!J118+'Input Técnico'!J119+'Input Técnico'!J123+'Input Técnico'!J124+'Input Técnico'!J127)),0)</f>
        <v>0</v>
      </c>
      <c r="I19" s="112">
        <f>IFERROR(('Input Económico-financeiro'!J112*('Input Técnico'!K114+'Input Técnico'!K115+'Input Técnico'!K118+'Input Técnico'!K119+'Input Técnico'!K123+'Input Técnico'!K124+'Input Técnico'!K127)),0)</f>
        <v>0</v>
      </c>
      <c r="J19" s="112">
        <f>IFERROR(('Input Económico-financeiro'!K112*('Input Técnico'!L114+'Input Técnico'!L115+'Input Técnico'!L118+'Input Técnico'!L119+'Input Técnico'!L123+'Input Técnico'!L124+'Input Técnico'!L127)),0)</f>
        <v>0</v>
      </c>
      <c r="K19" s="112">
        <f>IFERROR(('Input Económico-financeiro'!L112*('Input Técnico'!M114+'Input Técnico'!M115+'Input Técnico'!M118+'Input Técnico'!M119+'Input Técnico'!M123+'Input Técnico'!M124+'Input Técnico'!M127)),0)</f>
        <v>0</v>
      </c>
      <c r="L19" s="112">
        <f>IFERROR(('Input Económico-financeiro'!M112*('Input Técnico'!N114+'Input Técnico'!N115+'Input Técnico'!N118+'Input Técnico'!N119+'Input Técnico'!N123+'Input Técnico'!N124+'Input Técnico'!N127)),0)</f>
        <v>0</v>
      </c>
      <c r="M19" s="112">
        <f>IFERROR(('Input Económico-financeiro'!N112*('Input Técnico'!O114+'Input Técnico'!O115+'Input Técnico'!O118+'Input Técnico'!O119+'Input Técnico'!O123+'Input Técnico'!O124+'Input Técnico'!O127)),0)</f>
        <v>0</v>
      </c>
      <c r="N19" s="257"/>
    </row>
    <row r="20" spans="1:16" x14ac:dyDescent="0.25">
      <c r="A20" s="131" t="s">
        <v>388</v>
      </c>
      <c r="B20" s="196" t="s">
        <v>49</v>
      </c>
      <c r="C20" s="76" t="s">
        <v>43</v>
      </c>
      <c r="D20" s="112">
        <f>IFERROR('Input Económico-financeiro'!E110*('Input Técnico'!$O$57+'Input Técnico'!$O$75)*('Input Técnico'!F111/('Input Técnico'!F16+'Input Técnico'!F111)),0)</f>
        <v>0</v>
      </c>
      <c r="E20" s="112">
        <f>IFERROR('Input Económico-financeiro'!F110*('Input Técnico'!$O$57+'Input Técnico'!$O$75)*('Input Técnico'!G111/('Input Técnico'!G16+'Input Técnico'!G111)),0)</f>
        <v>0</v>
      </c>
      <c r="F20" s="112">
        <f>IFERROR('Input Económico-financeiro'!G110*('Input Técnico'!$O$57+'Input Técnico'!$O$75)*('Input Técnico'!H111/('Input Técnico'!H16+'Input Técnico'!H111)),0)</f>
        <v>0</v>
      </c>
      <c r="G20" s="112">
        <f>IFERROR('Input Económico-financeiro'!H110*('Input Técnico'!$O$57+'Input Técnico'!$O$75)*('Input Técnico'!I111/('Input Técnico'!I16+'Input Técnico'!I111)),0)</f>
        <v>0</v>
      </c>
      <c r="H20" s="112">
        <f>IFERROR('Input Económico-financeiro'!I110*('Input Técnico'!$O$57+'Input Técnico'!$O$75)*('Input Técnico'!J111/('Input Técnico'!J16+'Input Técnico'!J111)),0)</f>
        <v>0</v>
      </c>
      <c r="I20" s="112">
        <f>IFERROR('Input Económico-financeiro'!J110*('Input Técnico'!$O$57+'Input Técnico'!$O$75)*('Input Técnico'!K111/('Input Técnico'!K16+'Input Técnico'!K111)),0)</f>
        <v>0</v>
      </c>
      <c r="J20" s="112">
        <f>IFERROR('Input Económico-financeiro'!K110*('Input Técnico'!$O$57+'Input Técnico'!$O$75)*('Input Técnico'!L111/('Input Técnico'!L16+'Input Técnico'!L111)),0)</f>
        <v>0</v>
      </c>
      <c r="K20" s="112">
        <f>IFERROR('Input Económico-financeiro'!L110*('Input Técnico'!$O$57+'Input Técnico'!$O$75)*('Input Técnico'!M111/('Input Técnico'!M16+'Input Técnico'!M111)),0)</f>
        <v>0</v>
      </c>
      <c r="L20" s="112">
        <f>IFERROR('Input Económico-financeiro'!M110*('Input Técnico'!$O$57+'Input Técnico'!$O$75)*('Input Técnico'!N111/('Input Técnico'!N16+'Input Técnico'!N111)),0)</f>
        <v>0</v>
      </c>
      <c r="M20" s="112">
        <f>IFERROR('Input Económico-financeiro'!N110*('Input Técnico'!$O$57+'Input Técnico'!$O$75)*('Input Técnico'!O111/('Input Técnico'!O16+'Input Técnico'!O111)),0)</f>
        <v>0</v>
      </c>
    </row>
    <row r="21" spans="1:16" x14ac:dyDescent="0.25">
      <c r="A21" s="131" t="s">
        <v>389</v>
      </c>
      <c r="B21" s="196" t="s">
        <v>57</v>
      </c>
      <c r="C21" s="76" t="s">
        <v>43</v>
      </c>
      <c r="D21" s="112">
        <f>IFERROR((('Input Económico-financeiro'!E6+('Input Económico-financeiro'!E7*'Input Económico-financeiro'!E8*(('Input Técnico'!$E$18+'Input Técnico'!$E$19)/'Input Técnico'!$E$17)))*'Input Económico-financeiro'!E4),0)</f>
        <v>0</v>
      </c>
      <c r="E21" s="112">
        <f>IFERROR((('Input Económico-financeiro'!F6+('Input Económico-financeiro'!F7*'Input Económico-financeiro'!F8*(('Input Técnico'!$E$18+'Input Técnico'!$E$19)/'Input Técnico'!$E$17)))*'Input Económico-financeiro'!F4),0)</f>
        <v>0</v>
      </c>
      <c r="F21" s="112">
        <f>IFERROR((('Input Económico-financeiro'!G6+('Input Económico-financeiro'!G7*'Input Económico-financeiro'!G8*(('Input Técnico'!$E$18+'Input Técnico'!$E$19)/'Input Técnico'!$E$17)))*'Input Económico-financeiro'!G4),0)</f>
        <v>0</v>
      </c>
      <c r="G21" s="112">
        <f>IFERROR((('Input Económico-financeiro'!H6+('Input Económico-financeiro'!H7*'Input Económico-financeiro'!H8*(('Input Técnico'!$E$18+'Input Técnico'!$E$19)/'Input Técnico'!$E$17)))*'Input Económico-financeiro'!H4),0)</f>
        <v>0</v>
      </c>
      <c r="H21" s="112">
        <f>IFERROR((('Input Económico-financeiro'!I6+('Input Económico-financeiro'!I7*'Input Económico-financeiro'!I8*(('Input Técnico'!$E$18+'Input Técnico'!$E$19)/'Input Técnico'!$E$17)))*'Input Económico-financeiro'!I4),0)</f>
        <v>0</v>
      </c>
      <c r="I21" s="112">
        <f>IFERROR((('Input Económico-financeiro'!J6+('Input Económico-financeiro'!J7*'Input Económico-financeiro'!J8*(('Input Técnico'!$E$18+'Input Técnico'!$E$19)/'Input Técnico'!$E$17)))*'Input Económico-financeiro'!J4),0)</f>
        <v>0</v>
      </c>
      <c r="J21" s="112">
        <f>IFERROR((('Input Económico-financeiro'!K6+('Input Económico-financeiro'!K7*'Input Económico-financeiro'!K8*(('Input Técnico'!$E$18+'Input Técnico'!$E$19)/'Input Técnico'!$E$17)))*'Input Económico-financeiro'!K4),0)</f>
        <v>0</v>
      </c>
      <c r="K21" s="112">
        <f>IFERROR((('Input Económico-financeiro'!L6+('Input Económico-financeiro'!L7*'Input Económico-financeiro'!L8*(('Input Técnico'!$E$18+'Input Técnico'!$E$19)/'Input Técnico'!$E$17)))*'Input Económico-financeiro'!L4),0)</f>
        <v>0</v>
      </c>
      <c r="L21" s="112">
        <f>IFERROR((('Input Económico-financeiro'!M6+('Input Económico-financeiro'!M7*'Input Económico-financeiro'!M8*(('Input Técnico'!$E$18+'Input Técnico'!$E$19)/'Input Técnico'!$E$17)))*'Input Económico-financeiro'!M4),0)</f>
        <v>0</v>
      </c>
      <c r="M21" s="112">
        <f>IFERROR((('Input Económico-financeiro'!N6+('Input Económico-financeiro'!N7*'Input Económico-financeiro'!N8*(('Input Técnico'!$E$18+'Input Técnico'!$E$19)/'Input Técnico'!$E$17)))*'Input Económico-financeiro'!N4),0)</f>
        <v>0</v>
      </c>
    </row>
    <row r="22" spans="1:16" x14ac:dyDescent="0.25">
      <c r="A22" s="146" t="s">
        <v>174</v>
      </c>
      <c r="B22" s="197" t="s">
        <v>58</v>
      </c>
      <c r="C22" s="39"/>
      <c r="D22" s="40"/>
      <c r="E22" s="40"/>
      <c r="F22" s="40"/>
      <c r="G22" s="40"/>
      <c r="H22" s="40"/>
      <c r="I22" s="40"/>
      <c r="J22" s="40"/>
      <c r="K22" s="40"/>
      <c r="L22" s="40"/>
      <c r="M22" s="40"/>
    </row>
    <row r="23" spans="1:16" x14ac:dyDescent="0.25">
      <c r="A23" s="131" t="s">
        <v>390</v>
      </c>
      <c r="B23" s="149" t="s">
        <v>414</v>
      </c>
      <c r="C23" s="76" t="s">
        <v>43</v>
      </c>
      <c r="D23" s="124">
        <f>D16-D24</f>
        <v>0</v>
      </c>
      <c r="E23" s="124">
        <f t="shared" ref="E23:M23" si="5">E16-E24</f>
        <v>0</v>
      </c>
      <c r="F23" s="124">
        <f t="shared" si="5"/>
        <v>0</v>
      </c>
      <c r="G23" s="124">
        <f t="shared" si="5"/>
        <v>0</v>
      </c>
      <c r="H23" s="124">
        <f t="shared" si="5"/>
        <v>0</v>
      </c>
      <c r="I23" s="124">
        <f t="shared" si="5"/>
        <v>0</v>
      </c>
      <c r="J23" s="124">
        <f t="shared" si="5"/>
        <v>0</v>
      </c>
      <c r="K23" s="124">
        <f t="shared" si="5"/>
        <v>0</v>
      </c>
      <c r="L23" s="124">
        <f t="shared" si="5"/>
        <v>0</v>
      </c>
      <c r="M23" s="124">
        <f t="shared" si="5"/>
        <v>0</v>
      </c>
    </row>
    <row r="24" spans="1:16" x14ac:dyDescent="0.25">
      <c r="A24" s="131" t="s">
        <v>391</v>
      </c>
      <c r="B24" s="149" t="s">
        <v>415</v>
      </c>
      <c r="C24" s="76" t="s">
        <v>43</v>
      </c>
      <c r="D24" s="124">
        <f t="shared" ref="D24:M24" si="6">SUM(D25:D36)</f>
        <v>0</v>
      </c>
      <c r="E24" s="124">
        <f t="shared" si="6"/>
        <v>0</v>
      </c>
      <c r="F24" s="124">
        <f t="shared" si="6"/>
        <v>0</v>
      </c>
      <c r="G24" s="124">
        <f t="shared" si="6"/>
        <v>0</v>
      </c>
      <c r="H24" s="124">
        <f t="shared" si="6"/>
        <v>0</v>
      </c>
      <c r="I24" s="124">
        <f t="shared" si="6"/>
        <v>0</v>
      </c>
      <c r="J24" s="124">
        <f t="shared" si="6"/>
        <v>0</v>
      </c>
      <c r="K24" s="124">
        <f t="shared" si="6"/>
        <v>0</v>
      </c>
      <c r="L24" s="124">
        <f t="shared" si="6"/>
        <v>0</v>
      </c>
      <c r="M24" s="124">
        <f t="shared" si="6"/>
        <v>0</v>
      </c>
    </row>
    <row r="25" spans="1:16" x14ac:dyDescent="0.25">
      <c r="A25" s="255" t="s">
        <v>684</v>
      </c>
      <c r="B25" s="198" t="s">
        <v>400</v>
      </c>
      <c r="C25" s="76" t="s">
        <v>43</v>
      </c>
      <c r="D25" s="112">
        <f>'Input Económico-financeiro'!E115*'Input Económico-financeiro'!E116+'Input Económico-financeiro'!E118*'Input Económico-financeiro'!E119+'Input Económico-financeiro'!E121*'Input Económico-financeiro'!E122+'Input Económico-financeiro'!E124*'Input Económico-financeiro'!E125+'Input Económico-financeiro'!E127*'Input Económico-financeiro'!E128+'Input Económico-financeiro'!E130*'Input Económico-financeiro'!E131</f>
        <v>0</v>
      </c>
      <c r="E25" s="112">
        <f>'Input Económico-financeiro'!F115*'Input Económico-financeiro'!F116+'Input Económico-financeiro'!F118*'Input Económico-financeiro'!F119+'Input Económico-financeiro'!F121*'Input Económico-financeiro'!F122+'Input Económico-financeiro'!F124*'Input Económico-financeiro'!F125+'Input Económico-financeiro'!F127*'Input Económico-financeiro'!F128+'Input Económico-financeiro'!F130*'Input Económico-financeiro'!F131</f>
        <v>0</v>
      </c>
      <c r="F25" s="112">
        <f>'Input Económico-financeiro'!G115*'Input Económico-financeiro'!G116+'Input Económico-financeiro'!G118*'Input Económico-financeiro'!G119+'Input Económico-financeiro'!G121*'Input Económico-financeiro'!G122+'Input Económico-financeiro'!G124*'Input Económico-financeiro'!G125+'Input Económico-financeiro'!G127*'Input Económico-financeiro'!G128+'Input Económico-financeiro'!G130*'Input Económico-financeiro'!G131</f>
        <v>0</v>
      </c>
      <c r="G25" s="112">
        <f>'Input Económico-financeiro'!H115*'Input Económico-financeiro'!H116+'Input Económico-financeiro'!H118*'Input Económico-financeiro'!H119+'Input Económico-financeiro'!H121*'Input Económico-financeiro'!H122+'Input Económico-financeiro'!H124*'Input Económico-financeiro'!H125+'Input Económico-financeiro'!H127*'Input Económico-financeiro'!H128+'Input Económico-financeiro'!H130*'Input Económico-financeiro'!H131</f>
        <v>0</v>
      </c>
      <c r="H25" s="112">
        <f>'Input Económico-financeiro'!I115*'Input Económico-financeiro'!I116+'Input Económico-financeiro'!I118*'Input Económico-financeiro'!I119+'Input Económico-financeiro'!I121*'Input Económico-financeiro'!I122+'Input Económico-financeiro'!I124*'Input Económico-financeiro'!I125+'Input Económico-financeiro'!I127*'Input Económico-financeiro'!I128+'Input Económico-financeiro'!I130*'Input Económico-financeiro'!I131</f>
        <v>0</v>
      </c>
      <c r="I25" s="112">
        <f>'Input Económico-financeiro'!J115*'Input Económico-financeiro'!J116+'Input Económico-financeiro'!J118*'Input Económico-financeiro'!J119+'Input Económico-financeiro'!J121*'Input Económico-financeiro'!J122+'Input Económico-financeiro'!J124*'Input Económico-financeiro'!J125+'Input Económico-financeiro'!J127*'Input Económico-financeiro'!J128+'Input Económico-financeiro'!J130*'Input Económico-financeiro'!J131</f>
        <v>0</v>
      </c>
      <c r="J25" s="112">
        <f>'Input Económico-financeiro'!K115*'Input Económico-financeiro'!K116+'Input Económico-financeiro'!K118*'Input Económico-financeiro'!K119+'Input Económico-financeiro'!K121*'Input Económico-financeiro'!K122+'Input Económico-financeiro'!K124*'Input Económico-financeiro'!K125+'Input Económico-financeiro'!K127*'Input Económico-financeiro'!K128+'Input Económico-financeiro'!K130*'Input Económico-financeiro'!K131</f>
        <v>0</v>
      </c>
      <c r="K25" s="112">
        <f>'Input Económico-financeiro'!L115*'Input Económico-financeiro'!L116+'Input Económico-financeiro'!L118*'Input Económico-financeiro'!L119+'Input Económico-financeiro'!L121*'Input Económico-financeiro'!L122+'Input Económico-financeiro'!L124*'Input Económico-financeiro'!L125+'Input Económico-financeiro'!L127*'Input Económico-financeiro'!L128+'Input Económico-financeiro'!L130*'Input Económico-financeiro'!L131</f>
        <v>0</v>
      </c>
      <c r="L25" s="112">
        <f>'Input Económico-financeiro'!M115*'Input Económico-financeiro'!M116+'Input Económico-financeiro'!M118*'Input Económico-financeiro'!M119+'Input Económico-financeiro'!M121*'Input Económico-financeiro'!M122+'Input Económico-financeiro'!M124*'Input Económico-financeiro'!M125+'Input Económico-financeiro'!M127*'Input Económico-financeiro'!M128+'Input Económico-financeiro'!M130*'Input Económico-financeiro'!M131</f>
        <v>0</v>
      </c>
      <c r="M25" s="112">
        <f>'Input Económico-financeiro'!N115*'Input Económico-financeiro'!N116+'Input Económico-financeiro'!N118*'Input Económico-financeiro'!N119+'Input Económico-financeiro'!N121*'Input Económico-financeiro'!N122+'Input Económico-financeiro'!N124*'Input Económico-financeiro'!N125+'Input Económico-financeiro'!N127*'Input Económico-financeiro'!N128+'Input Económico-financeiro'!N130*'Input Económico-financeiro'!N131</f>
        <v>0</v>
      </c>
    </row>
    <row r="26" spans="1:16" x14ac:dyDescent="0.25">
      <c r="A26" s="255" t="s">
        <v>392</v>
      </c>
      <c r="B26" s="199" t="s">
        <v>50</v>
      </c>
      <c r="C26" s="76" t="s">
        <v>43</v>
      </c>
      <c r="D26" s="112">
        <f>IF('Input Económico-financeiro'!$D$133="Valor de referência (valor obtido automaticamente nas células a cinzento)",'Input Económico-financeiro'!E134,IF('Input Económico-financeiro'!$D$133="Valor proposto pelo município (preencher as células em branco)",'Input Económico-financeiro'!E133,0))</f>
        <v>0</v>
      </c>
      <c r="E26" s="112">
        <f>IF('Input Económico-financeiro'!$D$133="Valor de referência (valor obtido automaticamente nas células a cinzento)",'Input Económico-financeiro'!F134,IF('Input Económico-financeiro'!$D$133="Valor proposto pelo município (preencher as células em branco)",'Input Económico-financeiro'!F133,0))</f>
        <v>0</v>
      </c>
      <c r="F26" s="112">
        <f>IF('Input Económico-financeiro'!$D$133="Valor de referência (valor obtido automaticamente nas células a cinzento)",'Input Económico-financeiro'!G134,IF('Input Económico-financeiro'!$D$133="Valor proposto pelo município (preencher as células em branco)",'Input Económico-financeiro'!G133,0))</f>
        <v>0</v>
      </c>
      <c r="G26" s="112">
        <f>IF('Input Económico-financeiro'!$D$133="Valor de referência (valor obtido automaticamente nas células a cinzento)",'Input Económico-financeiro'!H134,IF('Input Económico-financeiro'!$D$133="Valor proposto pelo município (preencher as células em branco)",'Input Económico-financeiro'!H133,0))</f>
        <v>0</v>
      </c>
      <c r="H26" s="112">
        <f>IF('Input Económico-financeiro'!$D$133="Valor de referência (valor obtido automaticamente nas células a cinzento)",'Input Económico-financeiro'!I134,IF('Input Económico-financeiro'!$D$133="Valor proposto pelo município (preencher as células em branco)",'Input Económico-financeiro'!I133,0))</f>
        <v>0</v>
      </c>
      <c r="I26" s="112">
        <f>IF('Input Económico-financeiro'!$D$133="Valor de referência (valor obtido automaticamente nas células a cinzento)",'Input Económico-financeiro'!J134,IF('Input Económico-financeiro'!$D$133="Valor proposto pelo município (preencher as células em branco)",'Input Económico-financeiro'!J133,0))</f>
        <v>0</v>
      </c>
      <c r="J26" s="112">
        <f>IF('Input Económico-financeiro'!$D$133="Valor de referência (valor obtido automaticamente nas células a cinzento)",'Input Económico-financeiro'!K134,IF('Input Económico-financeiro'!$D$133="Valor proposto pelo município (preencher as células em branco)",'Input Económico-financeiro'!K133,0))</f>
        <v>0</v>
      </c>
      <c r="K26" s="112">
        <f>IF('Input Económico-financeiro'!$D$133="Valor de referência (valor obtido automaticamente nas células a cinzento)",'Input Económico-financeiro'!L134,IF('Input Económico-financeiro'!$D$133="Valor proposto pelo município (preencher as células em branco)",'Input Económico-financeiro'!L133,0))</f>
        <v>0</v>
      </c>
      <c r="L26" s="112">
        <f>IF('Input Económico-financeiro'!$D$133="Valor de referência (valor obtido automaticamente nas células a cinzento)",'Input Económico-financeiro'!M134,IF('Input Económico-financeiro'!$D$133="Valor proposto pelo município (preencher as células em branco)",'Input Económico-financeiro'!M133,0))</f>
        <v>0</v>
      </c>
      <c r="M26" s="112">
        <f>IF('Input Económico-financeiro'!$D$133="Valor de referência (valor obtido automaticamente nas células a cinzento)",'Input Económico-financeiro'!N134,IF('Input Económico-financeiro'!$D$133="Valor proposto pelo município (preencher as células em branco)",'Input Económico-financeiro'!N133,0))</f>
        <v>0</v>
      </c>
    </row>
    <row r="27" spans="1:16" x14ac:dyDescent="0.25">
      <c r="A27" s="255" t="s">
        <v>393</v>
      </c>
      <c r="B27" s="199" t="s">
        <v>151</v>
      </c>
      <c r="C27" s="76" t="s">
        <v>43</v>
      </c>
      <c r="D27" s="112">
        <f>'Input Económico-financeiro'!E137*'Input Económico-financeiro'!E138+'Input Económico-financeiro'!E140*'Input Económico-financeiro'!E141+'Input Económico-financeiro'!E143*'Input Económico-financeiro'!E144+'Input Económico-financeiro'!E146*'Input Económico-financeiro'!E147+'Input Económico-financeiro'!E149*'Input Económico-financeiro'!E150+'Input Económico-financeiro'!E152*'Input Económico-financeiro'!E153+'Input Económico-financeiro'!E155*'Input Económico-financeiro'!E156+'Input Económico-financeiro'!E158*'Input Económico-financeiro'!E159+'Input Económico-financeiro'!E161*'Input Económico-financeiro'!E162+'Input Económico-financeiro'!E164*'Input Económico-financeiro'!E165+'Input Económico-financeiro'!E167*'Input Económico-financeiro'!E168</f>
        <v>0</v>
      </c>
      <c r="E27" s="112">
        <f>'Input Económico-financeiro'!F137*'Input Económico-financeiro'!F138+'Input Económico-financeiro'!F140*'Input Económico-financeiro'!F141+'Input Económico-financeiro'!F143*'Input Económico-financeiro'!F144+'Input Económico-financeiro'!F146*'Input Económico-financeiro'!F147+'Input Económico-financeiro'!F149*'Input Económico-financeiro'!F150+'Input Económico-financeiro'!F152*'Input Económico-financeiro'!F153+'Input Económico-financeiro'!F155*'Input Económico-financeiro'!F156+'Input Económico-financeiro'!F158*'Input Económico-financeiro'!F159+'Input Económico-financeiro'!F161*'Input Económico-financeiro'!F162+'Input Económico-financeiro'!F164*'Input Económico-financeiro'!F165+'Input Económico-financeiro'!F167*'Input Económico-financeiro'!F168</f>
        <v>0</v>
      </c>
      <c r="F27" s="112">
        <f>'Input Económico-financeiro'!G137*'Input Económico-financeiro'!G138+'Input Económico-financeiro'!G140*'Input Económico-financeiro'!G141+'Input Económico-financeiro'!G143*'Input Económico-financeiro'!G144+'Input Económico-financeiro'!G146*'Input Económico-financeiro'!G147+'Input Económico-financeiro'!G149*'Input Económico-financeiro'!G150+'Input Económico-financeiro'!G152*'Input Económico-financeiro'!G153+'Input Económico-financeiro'!G155*'Input Económico-financeiro'!G156+'Input Económico-financeiro'!G158*'Input Económico-financeiro'!G159+'Input Económico-financeiro'!G161*'Input Económico-financeiro'!G162+'Input Económico-financeiro'!G164*'Input Económico-financeiro'!G165+'Input Económico-financeiro'!G167*'Input Económico-financeiro'!G168</f>
        <v>0</v>
      </c>
      <c r="G27" s="112">
        <f>'Input Económico-financeiro'!H137*'Input Económico-financeiro'!H138+'Input Económico-financeiro'!H140*'Input Económico-financeiro'!H141+'Input Económico-financeiro'!H143*'Input Económico-financeiro'!H144+'Input Económico-financeiro'!H146*'Input Económico-financeiro'!H147+'Input Económico-financeiro'!H149*'Input Económico-financeiro'!H150+'Input Económico-financeiro'!H152*'Input Económico-financeiro'!H153+'Input Económico-financeiro'!H155*'Input Económico-financeiro'!H156+'Input Económico-financeiro'!H158*'Input Económico-financeiro'!H159+'Input Económico-financeiro'!H161*'Input Económico-financeiro'!H162+'Input Económico-financeiro'!H164*'Input Económico-financeiro'!H165+'Input Económico-financeiro'!H167*'Input Económico-financeiro'!H168</f>
        <v>0</v>
      </c>
      <c r="H27" s="112">
        <f>'Input Económico-financeiro'!I137*'Input Económico-financeiro'!I138+'Input Económico-financeiro'!I140*'Input Económico-financeiro'!I141+'Input Económico-financeiro'!I143*'Input Económico-financeiro'!I144+'Input Económico-financeiro'!I146*'Input Económico-financeiro'!I147+'Input Económico-financeiro'!I149*'Input Económico-financeiro'!I150+'Input Económico-financeiro'!I152*'Input Económico-financeiro'!I153+'Input Económico-financeiro'!I155*'Input Económico-financeiro'!I156+'Input Económico-financeiro'!I158*'Input Económico-financeiro'!I159+'Input Económico-financeiro'!I161*'Input Económico-financeiro'!I162+'Input Económico-financeiro'!I164*'Input Económico-financeiro'!I165+'Input Económico-financeiro'!I167*'Input Económico-financeiro'!I168</f>
        <v>0</v>
      </c>
      <c r="I27" s="112">
        <f>'Input Económico-financeiro'!J137*'Input Económico-financeiro'!J138+'Input Económico-financeiro'!J140*'Input Económico-financeiro'!J141+'Input Económico-financeiro'!J143*'Input Económico-financeiro'!J144+'Input Económico-financeiro'!J146*'Input Económico-financeiro'!J147+'Input Económico-financeiro'!J149*'Input Económico-financeiro'!J150+'Input Económico-financeiro'!J152*'Input Económico-financeiro'!J153+'Input Económico-financeiro'!J155*'Input Económico-financeiro'!J156+'Input Económico-financeiro'!J158*'Input Económico-financeiro'!J159+'Input Económico-financeiro'!J161*'Input Económico-financeiro'!J162+'Input Económico-financeiro'!J164*'Input Económico-financeiro'!J165+'Input Económico-financeiro'!J167*'Input Económico-financeiro'!J168</f>
        <v>0</v>
      </c>
      <c r="J27" s="112">
        <f>'Input Económico-financeiro'!K137*'Input Económico-financeiro'!K138+'Input Económico-financeiro'!K140*'Input Económico-financeiro'!K141+'Input Económico-financeiro'!K143*'Input Económico-financeiro'!K144+'Input Económico-financeiro'!K146*'Input Económico-financeiro'!K147+'Input Económico-financeiro'!K149*'Input Económico-financeiro'!K150+'Input Económico-financeiro'!K152*'Input Económico-financeiro'!K153+'Input Económico-financeiro'!K155*'Input Económico-financeiro'!K156+'Input Económico-financeiro'!K158*'Input Económico-financeiro'!K159+'Input Económico-financeiro'!K161*'Input Económico-financeiro'!K162+'Input Económico-financeiro'!K164*'Input Económico-financeiro'!K165+'Input Económico-financeiro'!K167*'Input Económico-financeiro'!K168</f>
        <v>0</v>
      </c>
      <c r="K27" s="112">
        <f>'Input Económico-financeiro'!L137*'Input Económico-financeiro'!L138+'Input Económico-financeiro'!L140*'Input Económico-financeiro'!L141+'Input Económico-financeiro'!L143*'Input Económico-financeiro'!L144+'Input Económico-financeiro'!L146*'Input Económico-financeiro'!L147+'Input Económico-financeiro'!L149*'Input Económico-financeiro'!L150+'Input Económico-financeiro'!L152*'Input Económico-financeiro'!L153+'Input Económico-financeiro'!L155*'Input Económico-financeiro'!L156+'Input Económico-financeiro'!L158*'Input Económico-financeiro'!L159+'Input Económico-financeiro'!L161*'Input Económico-financeiro'!L162+'Input Económico-financeiro'!L164*'Input Económico-financeiro'!L165+'Input Económico-financeiro'!L167*'Input Económico-financeiro'!L168</f>
        <v>0</v>
      </c>
      <c r="L27" s="112">
        <f>'Input Económico-financeiro'!M137*'Input Económico-financeiro'!M138+'Input Económico-financeiro'!M140*'Input Económico-financeiro'!M141+'Input Económico-financeiro'!M143*'Input Económico-financeiro'!M144+'Input Económico-financeiro'!M146*'Input Económico-financeiro'!M147+'Input Económico-financeiro'!M149*'Input Económico-financeiro'!M150+'Input Económico-financeiro'!M152*'Input Económico-financeiro'!M153+'Input Económico-financeiro'!M155*'Input Económico-financeiro'!M156+'Input Económico-financeiro'!M158*'Input Económico-financeiro'!M159+'Input Económico-financeiro'!M161*'Input Económico-financeiro'!M162+'Input Económico-financeiro'!M164*'Input Económico-financeiro'!M165+'Input Económico-financeiro'!M167*'Input Económico-financeiro'!M168</f>
        <v>0</v>
      </c>
      <c r="M27" s="112">
        <f>'Input Económico-financeiro'!N137*'Input Económico-financeiro'!N138+'Input Económico-financeiro'!N140*'Input Económico-financeiro'!N141+'Input Económico-financeiro'!N143*'Input Económico-financeiro'!N144+'Input Económico-financeiro'!N146*'Input Económico-financeiro'!N147+'Input Económico-financeiro'!N149*'Input Económico-financeiro'!N150+'Input Económico-financeiro'!N152*'Input Económico-financeiro'!N153+'Input Económico-financeiro'!N155*'Input Económico-financeiro'!N156+'Input Económico-financeiro'!N158*'Input Económico-financeiro'!N159+'Input Económico-financeiro'!N161*'Input Económico-financeiro'!N162+'Input Económico-financeiro'!N164*'Input Económico-financeiro'!N165+'Input Económico-financeiro'!N167*'Input Económico-financeiro'!N168</f>
        <v>0</v>
      </c>
    </row>
    <row r="28" spans="1:16" x14ac:dyDescent="0.25">
      <c r="A28" s="255" t="s">
        <v>394</v>
      </c>
      <c r="B28" s="199" t="s">
        <v>51</v>
      </c>
      <c r="C28" s="76" t="s">
        <v>43</v>
      </c>
      <c r="D28" s="112">
        <f>'Input Económico-financeiro'!E171*'Input Económico-financeiro'!E172+'Input Económico-financeiro'!E174*'Input Económico-financeiro'!E175+'Input Económico-financeiro'!E177*'Input Económico-financeiro'!E178+'Input Económico-financeiro'!E180*'Input Económico-financeiro'!E181+'Input Económico-financeiro'!E183*'Input Económico-financeiro'!E184+'Input Económico-financeiro'!E186*'Input Económico-financeiro'!E187+'Input Económico-financeiro'!E189*'Input Económico-financeiro'!E190+'Input Económico-financeiro'!E192*'Input Económico-financeiro'!E193+'Input Económico-financeiro'!E195*'Input Económico-financeiro'!E196+'Input Económico-financeiro'!E198*'Input Económico-financeiro'!E199+'Input Económico-financeiro'!E201*'Input Económico-financeiro'!E202</f>
        <v>0</v>
      </c>
      <c r="E28" s="112">
        <f>'Input Económico-financeiro'!F171*'Input Económico-financeiro'!F172+'Input Económico-financeiro'!F174*'Input Económico-financeiro'!F175+'Input Económico-financeiro'!F177*'Input Económico-financeiro'!F178+'Input Económico-financeiro'!F180*'Input Económico-financeiro'!F181+'Input Económico-financeiro'!F183*'Input Económico-financeiro'!F184+'Input Económico-financeiro'!F186*'Input Económico-financeiro'!F187+'Input Económico-financeiro'!F189*'Input Económico-financeiro'!F190+'Input Económico-financeiro'!F192*'Input Económico-financeiro'!F193+'Input Económico-financeiro'!F195*'Input Económico-financeiro'!F196+'Input Económico-financeiro'!F198*'Input Económico-financeiro'!F199+'Input Económico-financeiro'!F201*'Input Económico-financeiro'!F202</f>
        <v>0</v>
      </c>
      <c r="F28" s="112">
        <f>'Input Económico-financeiro'!G171*'Input Económico-financeiro'!G172+'Input Económico-financeiro'!G174*'Input Económico-financeiro'!G175+'Input Económico-financeiro'!G177*'Input Económico-financeiro'!G178+'Input Económico-financeiro'!G180*'Input Económico-financeiro'!G181+'Input Económico-financeiro'!G183*'Input Económico-financeiro'!G184+'Input Económico-financeiro'!G186*'Input Económico-financeiro'!G187+'Input Económico-financeiro'!G189*'Input Económico-financeiro'!G190+'Input Económico-financeiro'!G192*'Input Económico-financeiro'!G193+'Input Económico-financeiro'!G195*'Input Económico-financeiro'!G196+'Input Económico-financeiro'!G198*'Input Económico-financeiro'!G199+'Input Económico-financeiro'!G201*'Input Económico-financeiro'!G202</f>
        <v>0</v>
      </c>
      <c r="G28" s="112">
        <f>'Input Económico-financeiro'!H171*'Input Económico-financeiro'!H172+'Input Económico-financeiro'!H174*'Input Económico-financeiro'!H175+'Input Económico-financeiro'!H177*'Input Económico-financeiro'!H178+'Input Económico-financeiro'!H180*'Input Económico-financeiro'!H181+'Input Económico-financeiro'!H183*'Input Económico-financeiro'!H184+'Input Económico-financeiro'!H186*'Input Económico-financeiro'!H187+'Input Económico-financeiro'!H189*'Input Económico-financeiro'!H190+'Input Económico-financeiro'!H192*'Input Económico-financeiro'!H193+'Input Económico-financeiro'!H195*'Input Económico-financeiro'!H196+'Input Económico-financeiro'!H198*'Input Económico-financeiro'!H199+'Input Económico-financeiro'!H201*'Input Económico-financeiro'!H202</f>
        <v>0</v>
      </c>
      <c r="H28" s="112">
        <f>'Input Económico-financeiro'!I171*'Input Económico-financeiro'!I172+'Input Económico-financeiro'!I174*'Input Económico-financeiro'!I175+'Input Económico-financeiro'!I177*'Input Económico-financeiro'!I178+'Input Económico-financeiro'!I180*'Input Económico-financeiro'!I181+'Input Económico-financeiro'!I183*'Input Económico-financeiro'!I184+'Input Económico-financeiro'!I186*'Input Económico-financeiro'!I187+'Input Económico-financeiro'!I189*'Input Económico-financeiro'!I190+'Input Económico-financeiro'!I192*'Input Económico-financeiro'!I193+'Input Económico-financeiro'!I195*'Input Económico-financeiro'!I196+'Input Económico-financeiro'!I198*'Input Económico-financeiro'!I199+'Input Económico-financeiro'!I201*'Input Económico-financeiro'!I202</f>
        <v>0</v>
      </c>
      <c r="I28" s="112">
        <f>'Input Económico-financeiro'!J171*'Input Económico-financeiro'!J172+'Input Económico-financeiro'!J174*'Input Económico-financeiro'!J175+'Input Económico-financeiro'!J177*'Input Económico-financeiro'!J178+'Input Económico-financeiro'!J180*'Input Económico-financeiro'!J181+'Input Económico-financeiro'!J183*'Input Económico-financeiro'!J184+'Input Económico-financeiro'!J186*'Input Económico-financeiro'!J187+'Input Económico-financeiro'!J189*'Input Económico-financeiro'!J190+'Input Económico-financeiro'!J192*'Input Económico-financeiro'!J193+'Input Económico-financeiro'!J195*'Input Económico-financeiro'!J196+'Input Económico-financeiro'!J198*'Input Económico-financeiro'!J199+'Input Económico-financeiro'!J201*'Input Económico-financeiro'!J202</f>
        <v>0</v>
      </c>
      <c r="J28" s="112">
        <f>'Input Económico-financeiro'!K171*'Input Económico-financeiro'!K172+'Input Económico-financeiro'!K174*'Input Económico-financeiro'!K175+'Input Económico-financeiro'!K177*'Input Económico-financeiro'!K178+'Input Económico-financeiro'!K180*'Input Económico-financeiro'!K181+'Input Económico-financeiro'!K183*'Input Económico-financeiro'!K184+'Input Económico-financeiro'!K186*'Input Económico-financeiro'!K187+'Input Económico-financeiro'!K189*'Input Económico-financeiro'!K190+'Input Económico-financeiro'!K192*'Input Económico-financeiro'!K193+'Input Económico-financeiro'!K195*'Input Económico-financeiro'!K196+'Input Económico-financeiro'!K198*'Input Económico-financeiro'!K199+'Input Económico-financeiro'!K201*'Input Económico-financeiro'!K202</f>
        <v>0</v>
      </c>
      <c r="K28" s="112">
        <f>'Input Económico-financeiro'!L171*'Input Económico-financeiro'!L172+'Input Económico-financeiro'!L174*'Input Económico-financeiro'!L175+'Input Económico-financeiro'!L177*'Input Económico-financeiro'!L178+'Input Económico-financeiro'!L180*'Input Económico-financeiro'!L181+'Input Económico-financeiro'!L183*'Input Económico-financeiro'!L184+'Input Económico-financeiro'!L186*'Input Económico-financeiro'!L187+'Input Económico-financeiro'!L189*'Input Económico-financeiro'!L190+'Input Económico-financeiro'!L192*'Input Económico-financeiro'!L193+'Input Económico-financeiro'!L195*'Input Económico-financeiro'!L196+'Input Económico-financeiro'!L198*'Input Económico-financeiro'!L199+'Input Económico-financeiro'!L201*'Input Económico-financeiro'!L202</f>
        <v>0</v>
      </c>
      <c r="L28" s="112">
        <f>'Input Económico-financeiro'!M171*'Input Económico-financeiro'!M172+'Input Económico-financeiro'!M174*'Input Económico-financeiro'!M175+'Input Económico-financeiro'!M177*'Input Económico-financeiro'!M178+'Input Económico-financeiro'!M180*'Input Económico-financeiro'!M181+'Input Económico-financeiro'!M183*'Input Económico-financeiro'!M184+'Input Económico-financeiro'!M186*'Input Económico-financeiro'!M187+'Input Económico-financeiro'!M189*'Input Económico-financeiro'!M190+'Input Económico-financeiro'!M192*'Input Económico-financeiro'!M193+'Input Económico-financeiro'!M195*'Input Económico-financeiro'!M196+'Input Económico-financeiro'!M198*'Input Económico-financeiro'!M199+'Input Económico-financeiro'!M201*'Input Económico-financeiro'!M202</f>
        <v>0</v>
      </c>
      <c r="M28" s="112">
        <f>'Input Económico-financeiro'!N171*'Input Económico-financeiro'!N172+'Input Económico-financeiro'!N174*'Input Económico-financeiro'!N175+'Input Económico-financeiro'!N177*'Input Económico-financeiro'!N178+'Input Económico-financeiro'!N180*'Input Económico-financeiro'!N181+'Input Económico-financeiro'!N183*'Input Económico-financeiro'!N184+'Input Económico-financeiro'!N186*'Input Económico-financeiro'!N187+'Input Económico-financeiro'!N189*'Input Económico-financeiro'!N190+'Input Económico-financeiro'!N192*'Input Económico-financeiro'!N193+'Input Económico-financeiro'!N195*'Input Económico-financeiro'!N196+'Input Económico-financeiro'!N198*'Input Económico-financeiro'!N199+'Input Económico-financeiro'!N201*'Input Económico-financeiro'!N202</f>
        <v>0</v>
      </c>
    </row>
    <row r="29" spans="1:16" x14ac:dyDescent="0.25">
      <c r="A29" s="255" t="s">
        <v>395</v>
      </c>
      <c r="B29" s="200" t="s">
        <v>573</v>
      </c>
      <c r="C29" s="76" t="s">
        <v>43</v>
      </c>
      <c r="D29" s="112">
        <f>'Input Económico-financeiro'!E205*'Input Económico-financeiro'!E206+'Input Económico-financeiro'!E208*'Input Económico-financeiro'!E209+'Input Económico-financeiro'!E211*'Input Económico-financeiro'!E212+'Input Económico-financeiro'!E214*'Input Económico-financeiro'!E215+'Input Económico-financeiro'!E217*'Input Económico-financeiro'!E218+'Input Económico-financeiro'!E229*'Input Económico-financeiro'!E230+'Input Económico-financeiro'!E232*'Input Económico-financeiro'!E233+'Input Económico-financeiro'!E235*'Input Económico-financeiro'!E236</f>
        <v>0</v>
      </c>
      <c r="E29" s="112">
        <f>'Input Económico-financeiro'!F205*'Input Económico-financeiro'!F206+'Input Económico-financeiro'!F208*'Input Económico-financeiro'!F209+'Input Económico-financeiro'!F211*'Input Económico-financeiro'!F212+'Input Económico-financeiro'!F214*'Input Económico-financeiro'!F215+'Input Económico-financeiro'!F217*'Input Económico-financeiro'!F218+'Input Económico-financeiro'!F229*'Input Económico-financeiro'!F230+'Input Económico-financeiro'!F232*'Input Económico-financeiro'!F233+'Input Económico-financeiro'!F235*'Input Económico-financeiro'!F236</f>
        <v>0</v>
      </c>
      <c r="F29" s="112">
        <f>'Input Económico-financeiro'!G205*'Input Económico-financeiro'!G206+'Input Económico-financeiro'!G208*'Input Económico-financeiro'!G209+'Input Económico-financeiro'!G211*'Input Económico-financeiro'!G212+'Input Económico-financeiro'!G214*'Input Económico-financeiro'!G215+'Input Económico-financeiro'!G217*'Input Económico-financeiro'!G218+'Input Económico-financeiro'!G229*'Input Económico-financeiro'!G230+'Input Económico-financeiro'!G232*'Input Económico-financeiro'!G233+'Input Económico-financeiro'!G235*'Input Económico-financeiro'!G236</f>
        <v>0</v>
      </c>
      <c r="G29" s="112">
        <f>'Input Económico-financeiro'!H205*'Input Económico-financeiro'!H206+'Input Económico-financeiro'!H208*'Input Económico-financeiro'!H209+'Input Económico-financeiro'!H211*'Input Económico-financeiro'!H212+'Input Económico-financeiro'!H214*'Input Económico-financeiro'!H215+'Input Económico-financeiro'!H217*'Input Económico-financeiro'!H218+'Input Económico-financeiro'!H229*'Input Económico-financeiro'!H230+'Input Económico-financeiro'!H232*'Input Económico-financeiro'!H233+'Input Económico-financeiro'!H235*'Input Económico-financeiro'!H236</f>
        <v>0</v>
      </c>
      <c r="H29" s="112">
        <f>'Input Económico-financeiro'!I205*'Input Económico-financeiro'!I206+'Input Económico-financeiro'!I208*'Input Económico-financeiro'!I209+'Input Económico-financeiro'!I211*'Input Económico-financeiro'!I212+'Input Económico-financeiro'!I214*'Input Económico-financeiro'!I215+'Input Económico-financeiro'!I217*'Input Económico-financeiro'!I218+'Input Económico-financeiro'!I229*'Input Económico-financeiro'!I230+'Input Económico-financeiro'!I232*'Input Económico-financeiro'!I233+'Input Económico-financeiro'!I235*'Input Económico-financeiro'!I236</f>
        <v>0</v>
      </c>
      <c r="I29" s="112">
        <f>'Input Económico-financeiro'!J205*'Input Económico-financeiro'!J206+'Input Económico-financeiro'!J208*'Input Económico-financeiro'!J209+'Input Económico-financeiro'!J211*'Input Económico-financeiro'!J212+'Input Económico-financeiro'!J214*'Input Económico-financeiro'!J215+'Input Económico-financeiro'!J217*'Input Económico-financeiro'!J218+'Input Económico-financeiro'!J229*'Input Económico-financeiro'!J230+'Input Económico-financeiro'!J232*'Input Económico-financeiro'!J233+'Input Económico-financeiro'!J235*'Input Económico-financeiro'!J236</f>
        <v>0</v>
      </c>
      <c r="J29" s="112">
        <f>'Input Económico-financeiro'!K205*'Input Económico-financeiro'!K206+'Input Económico-financeiro'!K208*'Input Económico-financeiro'!K209+'Input Económico-financeiro'!K211*'Input Económico-financeiro'!K212+'Input Económico-financeiro'!K214*'Input Económico-financeiro'!K215+'Input Económico-financeiro'!K217*'Input Económico-financeiro'!K218+'Input Económico-financeiro'!K229*'Input Económico-financeiro'!K230+'Input Económico-financeiro'!K232*'Input Económico-financeiro'!K233+'Input Económico-financeiro'!K235*'Input Económico-financeiro'!K236</f>
        <v>0</v>
      </c>
      <c r="K29" s="112">
        <f>'Input Económico-financeiro'!L205*'Input Económico-financeiro'!L206+'Input Económico-financeiro'!L208*'Input Económico-financeiro'!L209+'Input Económico-financeiro'!L211*'Input Económico-financeiro'!L212+'Input Económico-financeiro'!L214*'Input Económico-financeiro'!L215+'Input Económico-financeiro'!L217*'Input Económico-financeiro'!L218+'Input Económico-financeiro'!L229*'Input Económico-financeiro'!L230+'Input Económico-financeiro'!L232*'Input Económico-financeiro'!L233+'Input Económico-financeiro'!L235*'Input Económico-financeiro'!L236</f>
        <v>0</v>
      </c>
      <c r="L29" s="112">
        <f>'Input Económico-financeiro'!M205*'Input Económico-financeiro'!M206+'Input Económico-financeiro'!M208*'Input Económico-financeiro'!M209+'Input Económico-financeiro'!M211*'Input Económico-financeiro'!M212+'Input Económico-financeiro'!M214*'Input Económico-financeiro'!M215+'Input Económico-financeiro'!M217*'Input Económico-financeiro'!M218+'Input Económico-financeiro'!M229*'Input Económico-financeiro'!M230+'Input Económico-financeiro'!M232*'Input Económico-financeiro'!M233+'Input Económico-financeiro'!M235*'Input Económico-financeiro'!M236</f>
        <v>0</v>
      </c>
      <c r="M29" s="112">
        <f>'Input Económico-financeiro'!N205*'Input Económico-financeiro'!N206+'Input Económico-financeiro'!N208*'Input Económico-financeiro'!N209+'Input Económico-financeiro'!N211*'Input Económico-financeiro'!N212+'Input Económico-financeiro'!N214*'Input Económico-financeiro'!N215+'Input Económico-financeiro'!N217*'Input Económico-financeiro'!N218+'Input Económico-financeiro'!N229*'Input Económico-financeiro'!N230+'Input Económico-financeiro'!N232*'Input Económico-financeiro'!N233+'Input Económico-financeiro'!N235*'Input Económico-financeiro'!N236</f>
        <v>0</v>
      </c>
    </row>
    <row r="30" spans="1:16" x14ac:dyDescent="0.25">
      <c r="A30" s="255" t="s">
        <v>396</v>
      </c>
      <c r="B30" s="199" t="s">
        <v>79</v>
      </c>
      <c r="C30" s="76" t="s">
        <v>43</v>
      </c>
      <c r="D30" s="112">
        <f>'Input Económico-financeiro'!E240*'Input Económico-financeiro'!E241+'Input Económico-financeiro'!E243*'Input Económico-financeiro'!E244+'Input Económico-financeiro'!E246*'Input Económico-financeiro'!E247+'Input Económico-financeiro'!E249*'Input Económico-financeiro'!E250+'Input Económico-financeiro'!E252*'Input Económico-financeiro'!E253+'Input Económico-financeiro'!E255*'Input Económico-financeiro'!E256+'Input Económico-financeiro'!E258*'Input Económico-financeiro'!E259+'Input Económico-financeiro'!E261*'Input Económico-financeiro'!E262+'Input Económico-financeiro'!E264*'Input Económico-financeiro'!E265+'Input Económico-financeiro'!E267*'Input Económico-financeiro'!E268</f>
        <v>0</v>
      </c>
      <c r="E30" s="112">
        <f>'Input Económico-financeiro'!F240*'Input Económico-financeiro'!F241+'Input Económico-financeiro'!F243*'Input Económico-financeiro'!F244+'Input Económico-financeiro'!F246*'Input Económico-financeiro'!F247+'Input Económico-financeiro'!F249*'Input Económico-financeiro'!F250+'Input Económico-financeiro'!F252*'Input Económico-financeiro'!F253+'Input Económico-financeiro'!F255*'Input Económico-financeiro'!F256+'Input Económico-financeiro'!F258*'Input Económico-financeiro'!F259+'Input Económico-financeiro'!F261*'Input Económico-financeiro'!F262+'Input Económico-financeiro'!F264*'Input Económico-financeiro'!F265+'Input Económico-financeiro'!F267*'Input Económico-financeiro'!F268</f>
        <v>0</v>
      </c>
      <c r="F30" s="112">
        <f>'Input Económico-financeiro'!G240*'Input Económico-financeiro'!G241+'Input Económico-financeiro'!G243*'Input Económico-financeiro'!G244+'Input Económico-financeiro'!G246*'Input Económico-financeiro'!G247+'Input Económico-financeiro'!G249*'Input Económico-financeiro'!G250+'Input Económico-financeiro'!G252*'Input Económico-financeiro'!G253+'Input Económico-financeiro'!G255*'Input Económico-financeiro'!G256+'Input Económico-financeiro'!G258*'Input Económico-financeiro'!G259+'Input Económico-financeiro'!G261*'Input Económico-financeiro'!G262+'Input Económico-financeiro'!G264*'Input Económico-financeiro'!G265+'Input Económico-financeiro'!G267*'Input Económico-financeiro'!G268</f>
        <v>0</v>
      </c>
      <c r="G30" s="112">
        <f>'Input Económico-financeiro'!H240*'Input Económico-financeiro'!H241+'Input Económico-financeiro'!H243*'Input Económico-financeiro'!H244+'Input Económico-financeiro'!H246*'Input Económico-financeiro'!H247+'Input Económico-financeiro'!H249*'Input Económico-financeiro'!H250+'Input Económico-financeiro'!H252*'Input Económico-financeiro'!H253+'Input Económico-financeiro'!H255*'Input Económico-financeiro'!H256+'Input Económico-financeiro'!H258*'Input Económico-financeiro'!H259+'Input Económico-financeiro'!H261*'Input Económico-financeiro'!H262+'Input Económico-financeiro'!H264*'Input Económico-financeiro'!H265+'Input Económico-financeiro'!H267*'Input Económico-financeiro'!H268</f>
        <v>0</v>
      </c>
      <c r="H30" s="112">
        <f>'Input Económico-financeiro'!I240*'Input Económico-financeiro'!I241+'Input Económico-financeiro'!I243*'Input Económico-financeiro'!I244+'Input Económico-financeiro'!I246*'Input Económico-financeiro'!I247+'Input Económico-financeiro'!I249*'Input Económico-financeiro'!I250+'Input Económico-financeiro'!I252*'Input Económico-financeiro'!I253+'Input Económico-financeiro'!I255*'Input Económico-financeiro'!I256+'Input Económico-financeiro'!I258*'Input Económico-financeiro'!I259+'Input Económico-financeiro'!I261*'Input Económico-financeiro'!I262+'Input Económico-financeiro'!I264*'Input Económico-financeiro'!I265+'Input Económico-financeiro'!I267*'Input Económico-financeiro'!I268</f>
        <v>0</v>
      </c>
      <c r="I30" s="112">
        <f>'Input Económico-financeiro'!J240*'Input Económico-financeiro'!J241+'Input Económico-financeiro'!J243*'Input Económico-financeiro'!J244+'Input Económico-financeiro'!J246*'Input Económico-financeiro'!J247+'Input Económico-financeiro'!J249*'Input Económico-financeiro'!J250+'Input Económico-financeiro'!J252*'Input Económico-financeiro'!J253+'Input Económico-financeiro'!J255*'Input Económico-financeiro'!J256+'Input Económico-financeiro'!J258*'Input Económico-financeiro'!J259+'Input Económico-financeiro'!J261*'Input Económico-financeiro'!J262+'Input Económico-financeiro'!J264*'Input Económico-financeiro'!J265+'Input Económico-financeiro'!J267*'Input Económico-financeiro'!J268</f>
        <v>0</v>
      </c>
      <c r="J30" s="112">
        <f>'Input Económico-financeiro'!K240*'Input Económico-financeiro'!K241+'Input Económico-financeiro'!K243*'Input Económico-financeiro'!K244+'Input Económico-financeiro'!K246*'Input Económico-financeiro'!K247+'Input Económico-financeiro'!K249*'Input Económico-financeiro'!K250+'Input Económico-financeiro'!K252*'Input Económico-financeiro'!K253+'Input Económico-financeiro'!K255*'Input Económico-financeiro'!K256+'Input Económico-financeiro'!K258*'Input Económico-financeiro'!K259+'Input Económico-financeiro'!K261*'Input Económico-financeiro'!K262+'Input Económico-financeiro'!K264*'Input Económico-financeiro'!K265+'Input Económico-financeiro'!K267*'Input Económico-financeiro'!K268</f>
        <v>0</v>
      </c>
      <c r="K30" s="112">
        <f>'Input Económico-financeiro'!L240*'Input Económico-financeiro'!L241+'Input Económico-financeiro'!L243*'Input Económico-financeiro'!L244+'Input Económico-financeiro'!L246*'Input Económico-financeiro'!L247+'Input Económico-financeiro'!L249*'Input Económico-financeiro'!L250+'Input Económico-financeiro'!L252*'Input Económico-financeiro'!L253+'Input Económico-financeiro'!L255*'Input Económico-financeiro'!L256+'Input Económico-financeiro'!L258*'Input Económico-financeiro'!L259+'Input Económico-financeiro'!L261*'Input Económico-financeiro'!L262+'Input Económico-financeiro'!L264*'Input Económico-financeiro'!L265+'Input Económico-financeiro'!L267*'Input Económico-financeiro'!L268</f>
        <v>0</v>
      </c>
      <c r="L30" s="112">
        <f>'Input Económico-financeiro'!M240*'Input Económico-financeiro'!M241+'Input Económico-financeiro'!M243*'Input Económico-financeiro'!M244+'Input Económico-financeiro'!M246*'Input Económico-financeiro'!M247+'Input Económico-financeiro'!M249*'Input Económico-financeiro'!M250+'Input Económico-financeiro'!M252*'Input Económico-financeiro'!M253+'Input Económico-financeiro'!M255*'Input Económico-financeiro'!M256+'Input Económico-financeiro'!M258*'Input Económico-financeiro'!M259+'Input Económico-financeiro'!M261*'Input Económico-financeiro'!M262+'Input Económico-financeiro'!M264*'Input Económico-financeiro'!M265+'Input Económico-financeiro'!M267*'Input Económico-financeiro'!M268</f>
        <v>0</v>
      </c>
      <c r="M30" s="112">
        <f>'Input Económico-financeiro'!N240*'Input Económico-financeiro'!N241+'Input Económico-financeiro'!N243*'Input Económico-financeiro'!N244+'Input Económico-financeiro'!N246*'Input Económico-financeiro'!N247+'Input Económico-financeiro'!N249*'Input Económico-financeiro'!N250+'Input Económico-financeiro'!N252*'Input Económico-financeiro'!N253+'Input Económico-financeiro'!N255*'Input Económico-financeiro'!N256+'Input Económico-financeiro'!N258*'Input Económico-financeiro'!N259+'Input Económico-financeiro'!N261*'Input Económico-financeiro'!N262+'Input Económico-financeiro'!N264*'Input Económico-financeiro'!N265+'Input Económico-financeiro'!N267*'Input Económico-financeiro'!N268</f>
        <v>0</v>
      </c>
    </row>
    <row r="31" spans="1:16" x14ac:dyDescent="0.25">
      <c r="A31" s="255" t="s">
        <v>397</v>
      </c>
      <c r="B31" s="199" t="s">
        <v>78</v>
      </c>
      <c r="C31" s="76" t="s">
        <v>43</v>
      </c>
      <c r="D31" s="112">
        <f>'Input Económico-financeiro'!E271*'Input Económico-financeiro'!E272+'Input Económico-financeiro'!E274*'Input Económico-financeiro'!E275+'Input Económico-financeiro'!E277*'Input Económico-financeiro'!E278+'Input Económico-financeiro'!E280*'Input Económico-financeiro'!E281+'Input Económico-financeiro'!E283*'Input Económico-financeiro'!E284+'Input Económico-financeiro'!E286*'Input Económico-financeiro'!E287+'Input Económico-financeiro'!E289*'Input Económico-financeiro'!E290+'Input Económico-financeiro'!E292*'Input Económico-financeiro'!E293+'Input Económico-financeiro'!E295*'Input Económico-financeiro'!E296+'Input Económico-financeiro'!E298*'Input Económico-financeiro'!E299+'Input Económico-financeiro'!E301*'Input Económico-financeiro'!E302</f>
        <v>0</v>
      </c>
      <c r="E31" s="112">
        <f>'Input Económico-financeiro'!F271*'Input Económico-financeiro'!F272+'Input Económico-financeiro'!F274*'Input Económico-financeiro'!F275+'Input Económico-financeiro'!F277*'Input Económico-financeiro'!F278+'Input Económico-financeiro'!F280*'Input Económico-financeiro'!F281+'Input Económico-financeiro'!F283*'Input Económico-financeiro'!F284+'Input Económico-financeiro'!F286*'Input Económico-financeiro'!F287+'Input Económico-financeiro'!F289*'Input Económico-financeiro'!F290+'Input Económico-financeiro'!F292*'Input Económico-financeiro'!F293+'Input Económico-financeiro'!F295*'Input Económico-financeiro'!F296+'Input Económico-financeiro'!F298*'Input Económico-financeiro'!F299+'Input Económico-financeiro'!F301*'Input Económico-financeiro'!F302</f>
        <v>0</v>
      </c>
      <c r="F31" s="112">
        <f>'Input Económico-financeiro'!G271*'Input Económico-financeiro'!G272+'Input Económico-financeiro'!G274*'Input Económico-financeiro'!G275+'Input Económico-financeiro'!G277*'Input Económico-financeiro'!G278+'Input Económico-financeiro'!G280*'Input Económico-financeiro'!G281+'Input Económico-financeiro'!G283*'Input Económico-financeiro'!G284+'Input Económico-financeiro'!G286*'Input Económico-financeiro'!G287+'Input Económico-financeiro'!G289*'Input Económico-financeiro'!G290+'Input Económico-financeiro'!G292*'Input Económico-financeiro'!G293+'Input Económico-financeiro'!G295*'Input Económico-financeiro'!G296+'Input Económico-financeiro'!G298*'Input Económico-financeiro'!G299+'Input Económico-financeiro'!G301*'Input Económico-financeiro'!G302</f>
        <v>0</v>
      </c>
      <c r="G31" s="112">
        <f>'Input Económico-financeiro'!H271*'Input Económico-financeiro'!H272+'Input Económico-financeiro'!H274*'Input Económico-financeiro'!H275+'Input Económico-financeiro'!H277*'Input Económico-financeiro'!H278+'Input Económico-financeiro'!H280*'Input Económico-financeiro'!H281+'Input Económico-financeiro'!H283*'Input Económico-financeiro'!H284+'Input Económico-financeiro'!H286*'Input Económico-financeiro'!H287+'Input Económico-financeiro'!H289*'Input Económico-financeiro'!H290+'Input Económico-financeiro'!H292*'Input Económico-financeiro'!H293+'Input Económico-financeiro'!H295*'Input Económico-financeiro'!H296+'Input Económico-financeiro'!H298*'Input Económico-financeiro'!H299+'Input Económico-financeiro'!H301*'Input Económico-financeiro'!H302</f>
        <v>0</v>
      </c>
      <c r="H31" s="112">
        <f>'Input Económico-financeiro'!I271*'Input Económico-financeiro'!I272+'Input Económico-financeiro'!I274*'Input Económico-financeiro'!I275+'Input Económico-financeiro'!I277*'Input Económico-financeiro'!I278+'Input Económico-financeiro'!I280*'Input Económico-financeiro'!I281+'Input Económico-financeiro'!I283*'Input Económico-financeiro'!I284+'Input Económico-financeiro'!I286*'Input Económico-financeiro'!I287+'Input Económico-financeiro'!I289*'Input Económico-financeiro'!I290+'Input Económico-financeiro'!I292*'Input Económico-financeiro'!I293+'Input Económico-financeiro'!I295*'Input Económico-financeiro'!I296+'Input Económico-financeiro'!I298*'Input Económico-financeiro'!I299+'Input Económico-financeiro'!I301*'Input Económico-financeiro'!I302</f>
        <v>0</v>
      </c>
      <c r="I31" s="112">
        <f>'Input Económico-financeiro'!J271*'Input Económico-financeiro'!J272+'Input Económico-financeiro'!J274*'Input Económico-financeiro'!J275+'Input Económico-financeiro'!J277*'Input Económico-financeiro'!J278+'Input Económico-financeiro'!J280*'Input Económico-financeiro'!J281+'Input Económico-financeiro'!J283*'Input Económico-financeiro'!J284+'Input Económico-financeiro'!J286*'Input Económico-financeiro'!J287+'Input Económico-financeiro'!J289*'Input Económico-financeiro'!J290+'Input Económico-financeiro'!J292*'Input Económico-financeiro'!J293+'Input Económico-financeiro'!J295*'Input Económico-financeiro'!J296+'Input Económico-financeiro'!J298*'Input Económico-financeiro'!J299+'Input Económico-financeiro'!J301*'Input Económico-financeiro'!J302</f>
        <v>0</v>
      </c>
      <c r="J31" s="112">
        <f>'Input Económico-financeiro'!K271*'Input Económico-financeiro'!K272+'Input Económico-financeiro'!K274*'Input Económico-financeiro'!K275+'Input Económico-financeiro'!K277*'Input Económico-financeiro'!K278+'Input Económico-financeiro'!K280*'Input Económico-financeiro'!K281+'Input Económico-financeiro'!K283*'Input Económico-financeiro'!K284+'Input Económico-financeiro'!K286*'Input Económico-financeiro'!K287+'Input Económico-financeiro'!K289*'Input Económico-financeiro'!K290+'Input Económico-financeiro'!K292*'Input Económico-financeiro'!K293+'Input Económico-financeiro'!K295*'Input Económico-financeiro'!K296+'Input Económico-financeiro'!K298*'Input Económico-financeiro'!K299+'Input Económico-financeiro'!K301*'Input Económico-financeiro'!K302</f>
        <v>0</v>
      </c>
      <c r="K31" s="112">
        <f>'Input Económico-financeiro'!L271*'Input Económico-financeiro'!L272+'Input Económico-financeiro'!L274*'Input Económico-financeiro'!L275+'Input Económico-financeiro'!L277*'Input Económico-financeiro'!L278+'Input Económico-financeiro'!L280*'Input Económico-financeiro'!L281+'Input Económico-financeiro'!L283*'Input Económico-financeiro'!L284+'Input Económico-financeiro'!L286*'Input Económico-financeiro'!L287+'Input Económico-financeiro'!L289*'Input Económico-financeiro'!L290+'Input Económico-financeiro'!L292*'Input Económico-financeiro'!L293+'Input Económico-financeiro'!L295*'Input Económico-financeiro'!L296+'Input Económico-financeiro'!L298*'Input Económico-financeiro'!L299+'Input Económico-financeiro'!L301*'Input Económico-financeiro'!L302</f>
        <v>0</v>
      </c>
      <c r="L31" s="112">
        <f>'Input Económico-financeiro'!M271*'Input Económico-financeiro'!M272+'Input Económico-financeiro'!M274*'Input Económico-financeiro'!M275+'Input Económico-financeiro'!M277*'Input Económico-financeiro'!M278+'Input Económico-financeiro'!M280*'Input Económico-financeiro'!M281+'Input Económico-financeiro'!M283*'Input Económico-financeiro'!M284+'Input Económico-financeiro'!M286*'Input Económico-financeiro'!M287+'Input Económico-financeiro'!M289*'Input Económico-financeiro'!M290+'Input Económico-financeiro'!M292*'Input Económico-financeiro'!M293+'Input Económico-financeiro'!M295*'Input Económico-financeiro'!M296+'Input Económico-financeiro'!M298*'Input Económico-financeiro'!M299+'Input Económico-financeiro'!M301*'Input Económico-financeiro'!M302</f>
        <v>0</v>
      </c>
      <c r="M31" s="112">
        <f>'Input Económico-financeiro'!N271*'Input Económico-financeiro'!N272+'Input Económico-financeiro'!N274*'Input Económico-financeiro'!N275+'Input Económico-financeiro'!N277*'Input Económico-financeiro'!N278+'Input Económico-financeiro'!N280*'Input Económico-financeiro'!N281+'Input Económico-financeiro'!N283*'Input Económico-financeiro'!N284+'Input Económico-financeiro'!N286*'Input Económico-financeiro'!N287+'Input Económico-financeiro'!N289*'Input Económico-financeiro'!N290+'Input Económico-financeiro'!N292*'Input Económico-financeiro'!N293+'Input Económico-financeiro'!N295*'Input Económico-financeiro'!N296+'Input Económico-financeiro'!N298*'Input Económico-financeiro'!N299+'Input Económico-financeiro'!N301*'Input Económico-financeiro'!N302</f>
        <v>0</v>
      </c>
    </row>
    <row r="32" spans="1:16" x14ac:dyDescent="0.25">
      <c r="A32" s="255" t="s">
        <v>398</v>
      </c>
      <c r="B32" s="199" t="s">
        <v>149</v>
      </c>
      <c r="C32" s="76" t="s">
        <v>43</v>
      </c>
      <c r="D32" s="112">
        <f>'Input Económico-financeiro'!E305*'Input Económico-financeiro'!E306+'Input Económico-financeiro'!E308*'Input Económico-financeiro'!E309+'Input Económico-financeiro'!E311*'Input Económico-financeiro'!E312+'Input Económico-financeiro'!E314*'Input Económico-financeiro'!E315+'Input Económico-financeiro'!E317*'Input Económico-financeiro'!E318+'Input Económico-financeiro'!E320*'Input Económico-financeiro'!E321</f>
        <v>0</v>
      </c>
      <c r="E32" s="112">
        <f>'Input Económico-financeiro'!F305*'Input Económico-financeiro'!F306+'Input Económico-financeiro'!F308*'Input Económico-financeiro'!F309+'Input Económico-financeiro'!F311*'Input Económico-financeiro'!F312+'Input Económico-financeiro'!F314*'Input Económico-financeiro'!F315+'Input Económico-financeiro'!F317*'Input Económico-financeiro'!F318+'Input Económico-financeiro'!F320*'Input Económico-financeiro'!F321</f>
        <v>0</v>
      </c>
      <c r="F32" s="112">
        <f>'Input Económico-financeiro'!G305*'Input Económico-financeiro'!G306+'Input Económico-financeiro'!G308*'Input Económico-financeiro'!G309+'Input Económico-financeiro'!G311*'Input Económico-financeiro'!G312+'Input Económico-financeiro'!G314*'Input Económico-financeiro'!G315+'Input Económico-financeiro'!G317*'Input Económico-financeiro'!G318+'Input Económico-financeiro'!G320*'Input Económico-financeiro'!G321</f>
        <v>0</v>
      </c>
      <c r="G32" s="112">
        <f>'Input Económico-financeiro'!H305*'Input Económico-financeiro'!H306+'Input Económico-financeiro'!H308*'Input Económico-financeiro'!H309+'Input Económico-financeiro'!H311*'Input Económico-financeiro'!H312+'Input Económico-financeiro'!H314*'Input Económico-financeiro'!H315+'Input Económico-financeiro'!H317*'Input Económico-financeiro'!H318+'Input Económico-financeiro'!H320*'Input Económico-financeiro'!H321</f>
        <v>0</v>
      </c>
      <c r="H32" s="112">
        <f>'Input Económico-financeiro'!I305*'Input Económico-financeiro'!I306+'Input Económico-financeiro'!I308*'Input Económico-financeiro'!I309+'Input Económico-financeiro'!I311*'Input Económico-financeiro'!I312+'Input Económico-financeiro'!I314*'Input Económico-financeiro'!I315+'Input Económico-financeiro'!I317*'Input Económico-financeiro'!I318+'Input Económico-financeiro'!I320*'Input Económico-financeiro'!I321</f>
        <v>0</v>
      </c>
      <c r="I32" s="112">
        <f>'Input Económico-financeiro'!J305*'Input Económico-financeiro'!J306+'Input Económico-financeiro'!J308*'Input Económico-financeiro'!J309+'Input Económico-financeiro'!J311*'Input Económico-financeiro'!J312+'Input Económico-financeiro'!J314*'Input Económico-financeiro'!J315+'Input Económico-financeiro'!J317*'Input Económico-financeiro'!J318+'Input Económico-financeiro'!J320*'Input Económico-financeiro'!J321</f>
        <v>0</v>
      </c>
      <c r="J32" s="112">
        <f>'Input Económico-financeiro'!K305*'Input Económico-financeiro'!K306+'Input Económico-financeiro'!K308*'Input Económico-financeiro'!K309+'Input Económico-financeiro'!K311*'Input Económico-financeiro'!K312+'Input Económico-financeiro'!K314*'Input Económico-financeiro'!K315+'Input Económico-financeiro'!K317*'Input Económico-financeiro'!K318+'Input Económico-financeiro'!K320*'Input Económico-financeiro'!K321</f>
        <v>0</v>
      </c>
      <c r="K32" s="112">
        <f>'Input Económico-financeiro'!L305*'Input Económico-financeiro'!L306+'Input Económico-financeiro'!L308*'Input Económico-financeiro'!L309+'Input Económico-financeiro'!L311*'Input Económico-financeiro'!L312+'Input Económico-financeiro'!L314*'Input Económico-financeiro'!L315+'Input Económico-financeiro'!L317*'Input Económico-financeiro'!L318+'Input Económico-financeiro'!L320*'Input Económico-financeiro'!L321</f>
        <v>0</v>
      </c>
      <c r="L32" s="112">
        <f>'Input Económico-financeiro'!M305*'Input Económico-financeiro'!M306+'Input Económico-financeiro'!M308*'Input Económico-financeiro'!M309+'Input Económico-financeiro'!M311*'Input Económico-financeiro'!M312+'Input Económico-financeiro'!M314*'Input Económico-financeiro'!M315+'Input Económico-financeiro'!M317*'Input Económico-financeiro'!M318+'Input Económico-financeiro'!M320*'Input Económico-financeiro'!M321</f>
        <v>0</v>
      </c>
      <c r="M32" s="112">
        <f>'Input Económico-financeiro'!N305*'Input Económico-financeiro'!N306+'Input Económico-financeiro'!N308*'Input Económico-financeiro'!N309+'Input Económico-financeiro'!N311*'Input Económico-financeiro'!N312+'Input Económico-financeiro'!N314*'Input Económico-financeiro'!N315+'Input Económico-financeiro'!N317*'Input Económico-financeiro'!N318+'Input Económico-financeiro'!N320*'Input Económico-financeiro'!N321</f>
        <v>0</v>
      </c>
    </row>
    <row r="33" spans="1:13" x14ac:dyDescent="0.25">
      <c r="A33" s="255" t="s">
        <v>399</v>
      </c>
      <c r="B33" s="199" t="s">
        <v>148</v>
      </c>
      <c r="C33" s="76" t="s">
        <v>43</v>
      </c>
      <c r="D33" s="112">
        <f>'Input Económico-financeiro'!E324*'Input Económico-financeiro'!E325+'Input Económico-financeiro'!E327*'Input Económico-financeiro'!E328+'Input Económico-financeiro'!E330*'Input Económico-financeiro'!E331</f>
        <v>0</v>
      </c>
      <c r="E33" s="112">
        <f>'Input Económico-financeiro'!F324*'Input Económico-financeiro'!F325+'Input Económico-financeiro'!F327*'Input Económico-financeiro'!F328+'Input Económico-financeiro'!F330*'Input Económico-financeiro'!F331</f>
        <v>0</v>
      </c>
      <c r="F33" s="112">
        <f>'Input Económico-financeiro'!G324*'Input Económico-financeiro'!G325+'Input Económico-financeiro'!G327*'Input Económico-financeiro'!G328+'Input Económico-financeiro'!G330*'Input Económico-financeiro'!G331</f>
        <v>0</v>
      </c>
      <c r="G33" s="112">
        <f>'Input Económico-financeiro'!H324*'Input Económico-financeiro'!H325+'Input Económico-financeiro'!H327*'Input Económico-financeiro'!H328+'Input Económico-financeiro'!H330*'Input Económico-financeiro'!H331</f>
        <v>0</v>
      </c>
      <c r="H33" s="112">
        <f>'Input Económico-financeiro'!I324*'Input Económico-financeiro'!I325+'Input Económico-financeiro'!I327*'Input Económico-financeiro'!I328+'Input Económico-financeiro'!I330*'Input Económico-financeiro'!I331</f>
        <v>0</v>
      </c>
      <c r="I33" s="112">
        <f>'Input Económico-financeiro'!J324*'Input Económico-financeiro'!J325+'Input Económico-financeiro'!J327*'Input Económico-financeiro'!J328+'Input Económico-financeiro'!J330*'Input Económico-financeiro'!J331</f>
        <v>0</v>
      </c>
      <c r="J33" s="112">
        <f>'Input Económico-financeiro'!K324*'Input Económico-financeiro'!K325+'Input Económico-financeiro'!K327*'Input Económico-financeiro'!K328+'Input Económico-financeiro'!K330*'Input Económico-financeiro'!K331</f>
        <v>0</v>
      </c>
      <c r="K33" s="112">
        <f>'Input Económico-financeiro'!L324*'Input Económico-financeiro'!L325+'Input Económico-financeiro'!L327*'Input Económico-financeiro'!L328+'Input Económico-financeiro'!L330*'Input Económico-financeiro'!L331</f>
        <v>0</v>
      </c>
      <c r="L33" s="112">
        <f>'Input Económico-financeiro'!M324*'Input Económico-financeiro'!M325+'Input Económico-financeiro'!M327*'Input Económico-financeiro'!M328+'Input Económico-financeiro'!M330*'Input Económico-financeiro'!M331</f>
        <v>0</v>
      </c>
      <c r="M33" s="112">
        <f>'Input Económico-financeiro'!N324*'Input Económico-financeiro'!N325+'Input Económico-financeiro'!N327*'Input Económico-financeiro'!N328+'Input Económico-financeiro'!N330*'Input Económico-financeiro'!N331</f>
        <v>0</v>
      </c>
    </row>
    <row r="34" spans="1:13" x14ac:dyDescent="0.25">
      <c r="A34" s="255" t="s">
        <v>430</v>
      </c>
      <c r="B34" s="199" t="s">
        <v>152</v>
      </c>
      <c r="C34" s="76" t="s">
        <v>43</v>
      </c>
      <c r="D34" s="112">
        <f>'Input Económico-financeiro'!E333</f>
        <v>0</v>
      </c>
      <c r="E34" s="112">
        <f>'Input Económico-financeiro'!F333</f>
        <v>0</v>
      </c>
      <c r="F34" s="112">
        <f>'Input Económico-financeiro'!G333</f>
        <v>0</v>
      </c>
      <c r="G34" s="112">
        <f>'Input Económico-financeiro'!H333</f>
        <v>0</v>
      </c>
      <c r="H34" s="112">
        <f>'Input Económico-financeiro'!I333</f>
        <v>0</v>
      </c>
      <c r="I34" s="112">
        <f>'Input Económico-financeiro'!J333</f>
        <v>0</v>
      </c>
      <c r="J34" s="112">
        <f>'Input Económico-financeiro'!K333</f>
        <v>0</v>
      </c>
      <c r="K34" s="112">
        <f>'Input Económico-financeiro'!L333</f>
        <v>0</v>
      </c>
      <c r="L34" s="112">
        <f>'Input Económico-financeiro'!M333</f>
        <v>0</v>
      </c>
      <c r="M34" s="112">
        <f>'Input Económico-financeiro'!N333</f>
        <v>0</v>
      </c>
    </row>
    <row r="35" spans="1:13" x14ac:dyDescent="0.25">
      <c r="A35" s="255" t="s">
        <v>431</v>
      </c>
      <c r="B35" s="199" t="s">
        <v>150</v>
      </c>
      <c r="C35" s="76" t="s">
        <v>43</v>
      </c>
      <c r="D35" s="112">
        <f>'Input Económico-financeiro'!E336*'Input Económico-financeiro'!E337+'Input Económico-financeiro'!E339</f>
        <v>0</v>
      </c>
      <c r="E35" s="112">
        <f>'Input Económico-financeiro'!F336*'Input Económico-financeiro'!F337+'Input Económico-financeiro'!F339</f>
        <v>0</v>
      </c>
      <c r="F35" s="112">
        <f>'Input Económico-financeiro'!G336*'Input Económico-financeiro'!G337+'Input Económico-financeiro'!G339</f>
        <v>0</v>
      </c>
      <c r="G35" s="112">
        <f>'Input Económico-financeiro'!H336*'Input Económico-financeiro'!H337+'Input Económico-financeiro'!H339</f>
        <v>0</v>
      </c>
      <c r="H35" s="112">
        <f>'Input Económico-financeiro'!I336*'Input Económico-financeiro'!I337+'Input Económico-financeiro'!I339</f>
        <v>0</v>
      </c>
      <c r="I35" s="112">
        <f>'Input Económico-financeiro'!J336*'Input Económico-financeiro'!J337+'Input Económico-financeiro'!J339</f>
        <v>0</v>
      </c>
      <c r="J35" s="112">
        <f>'Input Económico-financeiro'!K336*'Input Económico-financeiro'!K337+'Input Económico-financeiro'!K339</f>
        <v>0</v>
      </c>
      <c r="K35" s="112">
        <f>'Input Económico-financeiro'!L336*'Input Económico-financeiro'!L337+'Input Económico-financeiro'!L339</f>
        <v>0</v>
      </c>
      <c r="L35" s="112">
        <f>'Input Económico-financeiro'!M336*'Input Económico-financeiro'!M337+'Input Económico-financeiro'!M339</f>
        <v>0</v>
      </c>
      <c r="M35" s="112">
        <f>'Input Económico-financeiro'!N336*'Input Económico-financeiro'!N337+'Input Económico-financeiro'!N339</f>
        <v>0</v>
      </c>
    </row>
    <row r="36" spans="1:13" x14ac:dyDescent="0.25">
      <c r="A36" s="255" t="s">
        <v>432</v>
      </c>
      <c r="B36" s="199" t="s">
        <v>52</v>
      </c>
      <c r="C36" s="76" t="s">
        <v>43</v>
      </c>
      <c r="D36" s="112">
        <f>'Input Económico-financeiro'!E342*'Input Económico-financeiro'!E343+'Input Económico-financeiro'!E345*'Input Económico-financeiro'!E346+'Input Económico-financeiro'!E348*'Input Económico-financeiro'!E349+'Input Económico-financeiro'!E351*'Input Económico-financeiro'!E352+'Input Económico-financeiro'!E354*'Input Económico-financeiro'!E355+'Input Económico-financeiro'!E357*'Input Económico-financeiro'!E358</f>
        <v>0</v>
      </c>
      <c r="E36" s="112">
        <f>'Input Económico-financeiro'!F342*'Input Económico-financeiro'!F343+'Input Económico-financeiro'!F345*'Input Económico-financeiro'!F346+'Input Económico-financeiro'!F348*'Input Económico-financeiro'!F349+'Input Económico-financeiro'!F351*'Input Económico-financeiro'!F352+'Input Económico-financeiro'!F354*'Input Económico-financeiro'!F355+'Input Económico-financeiro'!F357*'Input Económico-financeiro'!F358</f>
        <v>0</v>
      </c>
      <c r="F36" s="112">
        <f>'Input Económico-financeiro'!G342*'Input Económico-financeiro'!G343+'Input Económico-financeiro'!G345*'Input Económico-financeiro'!G346+'Input Económico-financeiro'!G348*'Input Económico-financeiro'!G349+'Input Económico-financeiro'!G351*'Input Económico-financeiro'!G352+'Input Económico-financeiro'!G354*'Input Económico-financeiro'!G355+'Input Económico-financeiro'!G357*'Input Económico-financeiro'!G358</f>
        <v>0</v>
      </c>
      <c r="G36" s="112">
        <f>'Input Económico-financeiro'!H342*'Input Económico-financeiro'!H343+'Input Económico-financeiro'!H345*'Input Económico-financeiro'!H346+'Input Económico-financeiro'!H348*'Input Económico-financeiro'!H349+'Input Económico-financeiro'!H351*'Input Económico-financeiro'!H352+'Input Económico-financeiro'!H354*'Input Económico-financeiro'!H355+'Input Económico-financeiro'!H357*'Input Económico-financeiro'!H358</f>
        <v>0</v>
      </c>
      <c r="H36" s="112">
        <f>'Input Económico-financeiro'!I342*'Input Económico-financeiro'!I343+'Input Económico-financeiro'!I345*'Input Económico-financeiro'!I346+'Input Económico-financeiro'!I348*'Input Económico-financeiro'!I349+'Input Económico-financeiro'!I351*'Input Económico-financeiro'!I352+'Input Económico-financeiro'!I354*'Input Económico-financeiro'!I355+'Input Económico-financeiro'!I357*'Input Económico-financeiro'!I358</f>
        <v>0</v>
      </c>
      <c r="I36" s="112">
        <f>'Input Económico-financeiro'!J342*'Input Económico-financeiro'!J343+'Input Económico-financeiro'!J345*'Input Económico-financeiro'!J346+'Input Económico-financeiro'!J348*'Input Económico-financeiro'!J349+'Input Económico-financeiro'!J351*'Input Económico-financeiro'!J352+'Input Económico-financeiro'!J354*'Input Económico-financeiro'!J355+'Input Económico-financeiro'!J357*'Input Económico-financeiro'!J358</f>
        <v>0</v>
      </c>
      <c r="J36" s="112">
        <f>'Input Económico-financeiro'!K342*'Input Económico-financeiro'!K343+'Input Económico-financeiro'!K345*'Input Económico-financeiro'!K346+'Input Económico-financeiro'!K348*'Input Económico-financeiro'!K349+'Input Económico-financeiro'!K351*'Input Económico-financeiro'!K352+'Input Económico-financeiro'!K354*'Input Económico-financeiro'!K355+'Input Económico-financeiro'!K357*'Input Económico-financeiro'!K358</f>
        <v>0</v>
      </c>
      <c r="K36" s="112">
        <f>'Input Económico-financeiro'!L342*'Input Económico-financeiro'!L343+'Input Económico-financeiro'!L345*'Input Económico-financeiro'!L346+'Input Económico-financeiro'!L348*'Input Económico-financeiro'!L349+'Input Económico-financeiro'!L351*'Input Económico-financeiro'!L352+'Input Económico-financeiro'!L354*'Input Económico-financeiro'!L355+'Input Económico-financeiro'!L357*'Input Económico-financeiro'!L358</f>
        <v>0</v>
      </c>
      <c r="L36" s="112">
        <f>'Input Económico-financeiro'!M342*'Input Económico-financeiro'!M343+'Input Económico-financeiro'!M345*'Input Económico-financeiro'!M346+'Input Económico-financeiro'!M348*'Input Económico-financeiro'!M349+'Input Económico-financeiro'!M351*'Input Económico-financeiro'!M352+'Input Económico-financeiro'!M354*'Input Económico-financeiro'!M355+'Input Económico-financeiro'!M357*'Input Económico-financeiro'!M358</f>
        <v>0</v>
      </c>
      <c r="M36" s="112">
        <f>'Input Económico-financeiro'!N342*'Input Económico-financeiro'!N343+'Input Económico-financeiro'!N345*'Input Económico-financeiro'!N346+'Input Económico-financeiro'!N348*'Input Económico-financeiro'!N349+'Input Económico-financeiro'!N351*'Input Económico-financeiro'!N352+'Input Económico-financeiro'!N354*'Input Económico-financeiro'!N355+'Input Económico-financeiro'!N357*'Input Económico-financeiro'!N358</f>
        <v>0</v>
      </c>
    </row>
    <row r="37" spans="1:13" x14ac:dyDescent="0.25">
      <c r="A37" s="146" t="s">
        <v>175</v>
      </c>
      <c r="B37" s="197" t="s">
        <v>147</v>
      </c>
      <c r="C37" s="41"/>
      <c r="D37" s="40"/>
      <c r="E37" s="40"/>
      <c r="F37" s="40"/>
      <c r="G37" s="40"/>
      <c r="H37" s="40"/>
      <c r="I37" s="40"/>
      <c r="J37" s="40"/>
      <c r="K37" s="40"/>
      <c r="L37" s="40"/>
      <c r="M37" s="40"/>
    </row>
    <row r="38" spans="1:13" x14ac:dyDescent="0.25">
      <c r="A38" s="131" t="s">
        <v>383</v>
      </c>
      <c r="B38" s="256" t="s">
        <v>685</v>
      </c>
      <c r="C38" s="76" t="s">
        <v>43</v>
      </c>
      <c r="D38" s="112">
        <f t="shared" ref="D38:M38" si="7">D23-D4</f>
        <v>0</v>
      </c>
      <c r="E38" s="112">
        <f t="shared" si="7"/>
        <v>0</v>
      </c>
      <c r="F38" s="112">
        <f t="shared" si="7"/>
        <v>0</v>
      </c>
      <c r="G38" s="112">
        <f t="shared" si="7"/>
        <v>0</v>
      </c>
      <c r="H38" s="112">
        <f t="shared" si="7"/>
        <v>0</v>
      </c>
      <c r="I38" s="112">
        <f t="shared" si="7"/>
        <v>0</v>
      </c>
      <c r="J38" s="112">
        <f t="shared" si="7"/>
        <v>0</v>
      </c>
      <c r="K38" s="112">
        <f t="shared" si="7"/>
        <v>0</v>
      </c>
      <c r="L38" s="112">
        <f t="shared" si="7"/>
        <v>0</v>
      </c>
      <c r="M38" s="112">
        <f t="shared" si="7"/>
        <v>0</v>
      </c>
    </row>
    <row r="39" spans="1:13" x14ac:dyDescent="0.25">
      <c r="A39" s="131" t="s">
        <v>384</v>
      </c>
      <c r="B39" s="86" t="s">
        <v>146</v>
      </c>
      <c r="C39" s="76" t="s">
        <v>43</v>
      </c>
      <c r="D39" s="112">
        <f>D38</f>
        <v>0</v>
      </c>
      <c r="E39" s="112">
        <f>E38+D39</f>
        <v>0</v>
      </c>
      <c r="F39" s="112">
        <f t="shared" ref="F39:M39" si="8">F38+E39</f>
        <v>0</v>
      </c>
      <c r="G39" s="112">
        <f t="shared" si="8"/>
        <v>0</v>
      </c>
      <c r="H39" s="112">
        <f t="shared" si="8"/>
        <v>0</v>
      </c>
      <c r="I39" s="112">
        <f t="shared" si="8"/>
        <v>0</v>
      </c>
      <c r="J39" s="112">
        <f t="shared" si="8"/>
        <v>0</v>
      </c>
      <c r="K39" s="112">
        <f t="shared" si="8"/>
        <v>0</v>
      </c>
      <c r="L39" s="112">
        <f t="shared" si="8"/>
        <v>0</v>
      </c>
      <c r="M39" s="112">
        <f t="shared" si="8"/>
        <v>0</v>
      </c>
    </row>
    <row r="41" spans="1:13" x14ac:dyDescent="0.25">
      <c r="D41" s="225"/>
      <c r="E41" s="225"/>
      <c r="F41" s="225"/>
      <c r="G41" s="225"/>
      <c r="H41" s="225"/>
      <c r="I41" s="225"/>
      <c r="J41" s="225"/>
      <c r="K41" s="225"/>
      <c r="L41" s="225"/>
      <c r="M41" s="226"/>
    </row>
  </sheetData>
  <sheetProtection algorithmName="SHA-512" hashValue="9/IxESoFAIKo/9TAFbm+mxxqredRHMdkMiAiye0ipX9OX3JMfdShp/01BPrf86O2LHDAZ6pPNfMpnjZvrThn/Q==" saltValue="V+zU+04y7FAe023NBtKfXw==" spinCount="100000" sheet="1" objects="1" scenarios="1"/>
  <mergeCells count="1">
    <mergeCell ref="A1:M1"/>
  </mergeCells>
  <phoneticPr fontId="32" type="noConversion"/>
  <pageMargins left="0.70866141732283472" right="0.70866141732283472" top="0.74803149606299213" bottom="0.74803149606299213"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O358"/>
  <sheetViews>
    <sheetView zoomScaleNormal="100" workbookViewId="0">
      <pane xSplit="3" ySplit="2" topLeftCell="D3" activePane="bottomRight" state="frozen"/>
      <selection pane="topRight" activeCell="D1" sqref="D1"/>
      <selection pane="bottomLeft" activeCell="A3" sqref="A3"/>
      <selection pane="bottomRight" activeCell="D27" sqref="D27:D28"/>
    </sheetView>
  </sheetViews>
  <sheetFormatPr defaultColWidth="8.85546875" defaultRowHeight="15" x14ac:dyDescent="0.25"/>
  <cols>
    <col min="1" max="1" width="7.5703125" style="99" bestFit="1" customWidth="1"/>
    <col min="2" max="2" width="69.5703125" style="99" customWidth="1"/>
    <col min="3" max="3" width="8.5703125" style="98" bestFit="1" customWidth="1"/>
    <col min="4" max="4" width="46" style="98" customWidth="1"/>
    <col min="5" max="5" width="18.85546875" style="99" bestFit="1" customWidth="1"/>
    <col min="6" max="14" width="17.7109375" style="99" bestFit="1" customWidth="1"/>
    <col min="15" max="15" width="91" style="99" customWidth="1"/>
    <col min="16" max="16384" width="8.85546875" style="99"/>
  </cols>
  <sheetData>
    <row r="1" spans="1:15" ht="18.75" x14ac:dyDescent="0.25">
      <c r="A1" s="359" t="s">
        <v>411</v>
      </c>
      <c r="B1" s="359"/>
      <c r="C1" s="359"/>
      <c r="D1" s="359"/>
      <c r="E1" s="359"/>
      <c r="F1" s="359"/>
      <c r="G1" s="359"/>
      <c r="H1" s="359"/>
      <c r="I1" s="359"/>
      <c r="J1" s="359"/>
      <c r="K1" s="359"/>
      <c r="L1" s="359"/>
      <c r="M1" s="359"/>
      <c r="N1" s="359"/>
      <c r="O1" s="359"/>
    </row>
    <row r="2" spans="1:15" x14ac:dyDescent="0.25">
      <c r="A2" s="71" t="s">
        <v>99</v>
      </c>
      <c r="B2" s="65" t="s">
        <v>6</v>
      </c>
      <c r="C2" s="72" t="s">
        <v>7</v>
      </c>
      <c r="D2" s="66" t="s">
        <v>9</v>
      </c>
      <c r="E2" s="71">
        <v>2021</v>
      </c>
      <c r="F2" s="71">
        <v>2022</v>
      </c>
      <c r="G2" s="71">
        <v>2023</v>
      </c>
      <c r="H2" s="71">
        <v>2024</v>
      </c>
      <c r="I2" s="71">
        <v>2025</v>
      </c>
      <c r="J2" s="71">
        <v>2026</v>
      </c>
      <c r="K2" s="71">
        <v>2027</v>
      </c>
      <c r="L2" s="71">
        <v>2028</v>
      </c>
      <c r="M2" s="71">
        <v>2029</v>
      </c>
      <c r="N2" s="71">
        <v>2030</v>
      </c>
      <c r="O2" s="151" t="s">
        <v>71</v>
      </c>
    </row>
    <row r="3" spans="1:15" x14ac:dyDescent="0.25">
      <c r="A3" s="19" t="s">
        <v>574</v>
      </c>
      <c r="B3" s="19" t="s">
        <v>417</v>
      </c>
      <c r="C3" s="27"/>
      <c r="D3" s="27"/>
      <c r="E3" s="20"/>
      <c r="F3" s="20"/>
      <c r="G3" s="20"/>
      <c r="H3" s="20"/>
      <c r="I3" s="20"/>
      <c r="J3" s="20"/>
      <c r="K3" s="20"/>
      <c r="L3" s="20"/>
      <c r="M3" s="20"/>
      <c r="N3" s="20"/>
      <c r="O3" s="163"/>
    </row>
    <row r="4" spans="1:15" x14ac:dyDescent="0.25">
      <c r="A4" s="49" t="s">
        <v>285</v>
      </c>
      <c r="B4" s="73" t="s">
        <v>65</v>
      </c>
      <c r="C4" s="36" t="s">
        <v>13</v>
      </c>
      <c r="D4" s="36"/>
      <c r="E4" s="74">
        <f>'Input Técnico'!F111</f>
        <v>0</v>
      </c>
      <c r="F4" s="74">
        <f>'Input Técnico'!G111</f>
        <v>0</v>
      </c>
      <c r="G4" s="74">
        <f>'Input Técnico'!H111</f>
        <v>0</v>
      </c>
      <c r="H4" s="74">
        <f>'Input Técnico'!I111</f>
        <v>0</v>
      </c>
      <c r="I4" s="74">
        <f>'Input Técnico'!J111</f>
        <v>0</v>
      </c>
      <c r="J4" s="74">
        <f>'Input Técnico'!K111</f>
        <v>0</v>
      </c>
      <c r="K4" s="74">
        <f>'Input Técnico'!L111</f>
        <v>0</v>
      </c>
      <c r="L4" s="74">
        <f>'Input Técnico'!M111</f>
        <v>0</v>
      </c>
      <c r="M4" s="74">
        <f>'Input Técnico'!N111</f>
        <v>0</v>
      </c>
      <c r="N4" s="74">
        <f>'Input Técnico'!O111</f>
        <v>0</v>
      </c>
      <c r="O4" s="164"/>
    </row>
    <row r="5" spans="1:15" x14ac:dyDescent="0.25">
      <c r="A5" s="19" t="s">
        <v>94</v>
      </c>
      <c r="B5" s="19" t="s">
        <v>57</v>
      </c>
      <c r="C5" s="27"/>
      <c r="D5" s="27"/>
      <c r="E5" s="20"/>
      <c r="F5" s="20"/>
      <c r="G5" s="20"/>
      <c r="H5" s="20"/>
      <c r="I5" s="20"/>
      <c r="J5" s="20"/>
      <c r="K5" s="20"/>
      <c r="L5" s="20"/>
      <c r="M5" s="20"/>
      <c r="N5" s="20"/>
      <c r="O5" s="163"/>
    </row>
    <row r="6" spans="1:15" x14ac:dyDescent="0.25">
      <c r="A6" s="131" t="s">
        <v>136</v>
      </c>
      <c r="B6" s="73" t="s">
        <v>674</v>
      </c>
      <c r="C6" s="36" t="s">
        <v>605</v>
      </c>
      <c r="D6" s="36"/>
      <c r="E6" s="278"/>
      <c r="F6" s="278"/>
      <c r="G6" s="278"/>
      <c r="H6" s="278"/>
      <c r="I6" s="278"/>
      <c r="J6" s="278"/>
      <c r="K6" s="278"/>
      <c r="L6" s="278"/>
      <c r="M6" s="278"/>
      <c r="N6" s="278"/>
      <c r="O6" s="164"/>
    </row>
    <row r="7" spans="1:15" x14ac:dyDescent="0.25">
      <c r="A7" s="131" t="s">
        <v>137</v>
      </c>
      <c r="B7" s="73" t="s">
        <v>675</v>
      </c>
      <c r="C7" s="36" t="s">
        <v>605</v>
      </c>
      <c r="D7" s="36"/>
      <c r="E7" s="278"/>
      <c r="F7" s="278"/>
      <c r="G7" s="278"/>
      <c r="H7" s="278"/>
      <c r="I7" s="278"/>
      <c r="J7" s="278"/>
      <c r="K7" s="278"/>
      <c r="L7" s="278"/>
      <c r="M7" s="278"/>
      <c r="N7" s="278"/>
      <c r="O7" s="164"/>
    </row>
    <row r="8" spans="1:15" x14ac:dyDescent="0.25">
      <c r="A8" s="251" t="s">
        <v>673</v>
      </c>
      <c r="B8" s="73" t="s">
        <v>676</v>
      </c>
      <c r="C8" s="36" t="s">
        <v>12</v>
      </c>
      <c r="D8" s="36"/>
      <c r="E8" s="279"/>
      <c r="F8" s="279"/>
      <c r="G8" s="279"/>
      <c r="H8" s="279"/>
      <c r="I8" s="279"/>
      <c r="J8" s="279"/>
      <c r="K8" s="279"/>
      <c r="L8" s="279"/>
      <c r="M8" s="279"/>
      <c r="N8" s="279"/>
      <c r="O8" s="164"/>
    </row>
    <row r="9" spans="1:15" x14ac:dyDescent="0.25">
      <c r="A9" s="19" t="s">
        <v>95</v>
      </c>
      <c r="B9" s="19" t="s">
        <v>114</v>
      </c>
      <c r="C9" s="27"/>
      <c r="D9" s="27"/>
      <c r="E9" s="20"/>
      <c r="F9" s="20"/>
      <c r="G9" s="20"/>
      <c r="H9" s="20"/>
      <c r="I9" s="20"/>
      <c r="J9" s="20"/>
      <c r="K9" s="20"/>
      <c r="L9" s="20"/>
      <c r="M9" s="20"/>
      <c r="N9" s="20"/>
      <c r="O9" s="163"/>
    </row>
    <row r="10" spans="1:15" x14ac:dyDescent="0.25">
      <c r="A10" s="146" t="s">
        <v>182</v>
      </c>
      <c r="B10" s="21" t="s">
        <v>46</v>
      </c>
      <c r="C10" s="22"/>
      <c r="D10" s="22"/>
      <c r="E10" s="23"/>
      <c r="F10" s="23"/>
      <c r="G10" s="23"/>
      <c r="H10" s="23"/>
      <c r="I10" s="23"/>
      <c r="J10" s="23"/>
      <c r="K10" s="23"/>
      <c r="L10" s="23"/>
      <c r="M10" s="23"/>
      <c r="N10" s="23"/>
      <c r="O10" s="35"/>
    </row>
    <row r="11" spans="1:15" x14ac:dyDescent="0.25">
      <c r="A11" s="33"/>
      <c r="B11" s="73" t="s">
        <v>17</v>
      </c>
      <c r="C11" s="36"/>
      <c r="D11" s="36"/>
      <c r="E11" s="76"/>
      <c r="F11" s="76"/>
      <c r="G11" s="76"/>
      <c r="H11" s="76"/>
      <c r="I11" s="76"/>
      <c r="J11" s="76"/>
      <c r="K11" s="76"/>
      <c r="L11" s="76"/>
      <c r="M11" s="76"/>
      <c r="N11" s="76"/>
      <c r="O11" s="164"/>
    </row>
    <row r="12" spans="1:15" x14ac:dyDescent="0.25">
      <c r="A12" s="131" t="s">
        <v>233</v>
      </c>
      <c r="B12" s="75" t="s">
        <v>181</v>
      </c>
      <c r="C12" s="36" t="s">
        <v>43</v>
      </c>
      <c r="D12" s="365" t="str">
        <f>IF('Input Técnico'!$D$131="Selecione a tiopologia do sistema de recolha a que o equipamento se destina"," ",IF('Input Técnico'!$D$131="Via pública","Via pública",IF('Input Técnico'!$D$131="Porta-a-porta","Porta-a-porta",IF('Input Técnico'!$D$131="Reciclagem na origem","Reciclagem na origem"," "))))</f>
        <v xml:space="preserve"> </v>
      </c>
      <c r="E12" s="165"/>
      <c r="F12" s="165"/>
      <c r="G12" s="165"/>
      <c r="H12" s="165"/>
      <c r="I12" s="165"/>
      <c r="J12" s="165"/>
      <c r="K12" s="165"/>
      <c r="L12" s="165"/>
      <c r="M12" s="165"/>
      <c r="N12" s="165"/>
      <c r="O12" s="164"/>
    </row>
    <row r="13" spans="1:15" x14ac:dyDescent="0.25">
      <c r="A13" s="131" t="s">
        <v>234</v>
      </c>
      <c r="B13" s="75" t="s">
        <v>115</v>
      </c>
      <c r="C13" s="36" t="s">
        <v>45</v>
      </c>
      <c r="D13" s="366"/>
      <c r="E13" s="74">
        <f>'Input Técnico'!F132</f>
        <v>0</v>
      </c>
      <c r="F13" s="74">
        <f>'Input Técnico'!G132</f>
        <v>0</v>
      </c>
      <c r="G13" s="74">
        <f>'Input Técnico'!H132</f>
        <v>0</v>
      </c>
      <c r="H13" s="74">
        <f>'Input Técnico'!I132</f>
        <v>0</v>
      </c>
      <c r="I13" s="74">
        <f>'Input Técnico'!J132</f>
        <v>0</v>
      </c>
      <c r="J13" s="74">
        <f>'Input Técnico'!K132</f>
        <v>0</v>
      </c>
      <c r="K13" s="74">
        <f>'Input Técnico'!L132</f>
        <v>0</v>
      </c>
      <c r="L13" s="74">
        <f>'Input Técnico'!M132</f>
        <v>0</v>
      </c>
      <c r="M13" s="74">
        <f>'Input Técnico'!N132</f>
        <v>0</v>
      </c>
      <c r="N13" s="74">
        <f>'Input Técnico'!O132</f>
        <v>0</v>
      </c>
      <c r="O13" s="164"/>
    </row>
    <row r="14" spans="1:15" x14ac:dyDescent="0.25">
      <c r="A14" s="33"/>
      <c r="B14" s="73" t="s">
        <v>18</v>
      </c>
      <c r="C14" s="36"/>
      <c r="D14" s="36"/>
      <c r="E14" s="76"/>
      <c r="F14" s="76"/>
      <c r="G14" s="76"/>
      <c r="H14" s="76"/>
      <c r="I14" s="76"/>
      <c r="J14" s="76"/>
      <c r="K14" s="76"/>
      <c r="L14" s="76"/>
      <c r="M14" s="76"/>
      <c r="N14" s="76"/>
      <c r="O14" s="164"/>
    </row>
    <row r="15" spans="1:15" x14ac:dyDescent="0.25">
      <c r="A15" s="131" t="s">
        <v>233</v>
      </c>
      <c r="B15" s="75" t="s">
        <v>181</v>
      </c>
      <c r="C15" s="36" t="s">
        <v>43</v>
      </c>
      <c r="D15" s="365" t="str">
        <f>IF('Input Técnico'!$D$135="Selecione a tiopologia do sistema de recolha a que o equipamento se destina"," ",IF('Input Técnico'!$D$135="Via pública","Via pública",IF('Input Técnico'!$D$135="Porta-a-porta","Porta-a-porta",IF('Input Técnico'!$D$135="Reciclagem na origem","Reciclagem na origem"," "))))</f>
        <v xml:space="preserve"> </v>
      </c>
      <c r="E15" s="165"/>
      <c r="F15" s="165"/>
      <c r="G15" s="165"/>
      <c r="H15" s="165"/>
      <c r="I15" s="165"/>
      <c r="J15" s="165"/>
      <c r="K15" s="165"/>
      <c r="L15" s="165"/>
      <c r="M15" s="165"/>
      <c r="N15" s="165"/>
      <c r="O15" s="164"/>
    </row>
    <row r="16" spans="1:15" x14ac:dyDescent="0.25">
      <c r="A16" s="131" t="s">
        <v>234</v>
      </c>
      <c r="B16" s="75" t="s">
        <v>115</v>
      </c>
      <c r="C16" s="36" t="s">
        <v>45</v>
      </c>
      <c r="D16" s="366"/>
      <c r="E16" s="74">
        <f>'Input Técnico'!F136</f>
        <v>0</v>
      </c>
      <c r="F16" s="74">
        <f>'Input Técnico'!G136</f>
        <v>0</v>
      </c>
      <c r="G16" s="74">
        <f>'Input Técnico'!H136</f>
        <v>0</v>
      </c>
      <c r="H16" s="74">
        <f>'Input Técnico'!I136</f>
        <v>0</v>
      </c>
      <c r="I16" s="74">
        <f>'Input Técnico'!J136</f>
        <v>0</v>
      </c>
      <c r="J16" s="74">
        <f>'Input Técnico'!K136</f>
        <v>0</v>
      </c>
      <c r="K16" s="74">
        <f>'Input Técnico'!L136</f>
        <v>0</v>
      </c>
      <c r="L16" s="74">
        <f>'Input Técnico'!M136</f>
        <v>0</v>
      </c>
      <c r="M16" s="74">
        <f>'Input Técnico'!N136</f>
        <v>0</v>
      </c>
      <c r="N16" s="74">
        <f>'Input Técnico'!O136</f>
        <v>0</v>
      </c>
      <c r="O16" s="164"/>
    </row>
    <row r="17" spans="1:15" x14ac:dyDescent="0.25">
      <c r="A17" s="33"/>
      <c r="B17" s="73" t="s">
        <v>19</v>
      </c>
      <c r="C17" s="36"/>
      <c r="D17" s="36"/>
      <c r="E17" s="76"/>
      <c r="F17" s="76"/>
      <c r="G17" s="76"/>
      <c r="H17" s="76"/>
      <c r="I17" s="76"/>
      <c r="J17" s="76"/>
      <c r="K17" s="76"/>
      <c r="L17" s="76"/>
      <c r="M17" s="76"/>
      <c r="N17" s="76"/>
      <c r="O17" s="164"/>
    </row>
    <row r="18" spans="1:15" x14ac:dyDescent="0.25">
      <c r="A18" s="131" t="s">
        <v>233</v>
      </c>
      <c r="B18" s="75" t="s">
        <v>181</v>
      </c>
      <c r="C18" s="36" t="s">
        <v>43</v>
      </c>
      <c r="D18" s="365" t="str">
        <f>IF('Input Técnico'!$D$139="Selecione a tiopologia do sistema de recolha a que o equipamento se destina"," ",IF('Input Técnico'!$D$139="Via pública","Via pública",IF('Input Técnico'!$D$139="Porta-a-porta","Porta-a-porta",IF('Input Técnico'!$D$139="Reciclagem na origem","Reciclagem na origem"," "))))</f>
        <v xml:space="preserve"> </v>
      </c>
      <c r="E18" s="165"/>
      <c r="F18" s="165"/>
      <c r="G18" s="165"/>
      <c r="H18" s="165"/>
      <c r="I18" s="165"/>
      <c r="J18" s="165"/>
      <c r="K18" s="165"/>
      <c r="L18" s="165"/>
      <c r="M18" s="165"/>
      <c r="N18" s="165"/>
      <c r="O18" s="164"/>
    </row>
    <row r="19" spans="1:15" x14ac:dyDescent="0.25">
      <c r="A19" s="131" t="s">
        <v>234</v>
      </c>
      <c r="B19" s="75" t="s">
        <v>115</v>
      </c>
      <c r="C19" s="36" t="s">
        <v>45</v>
      </c>
      <c r="D19" s="366"/>
      <c r="E19" s="74">
        <f>'Input Técnico'!F140</f>
        <v>0</v>
      </c>
      <c r="F19" s="74">
        <f>'Input Técnico'!G140</f>
        <v>0</v>
      </c>
      <c r="G19" s="74">
        <f>'Input Técnico'!H140</f>
        <v>0</v>
      </c>
      <c r="H19" s="74">
        <f>'Input Técnico'!I140</f>
        <v>0</v>
      </c>
      <c r="I19" s="74">
        <f>'Input Técnico'!J140</f>
        <v>0</v>
      </c>
      <c r="J19" s="74">
        <f>'Input Técnico'!K140</f>
        <v>0</v>
      </c>
      <c r="K19" s="74">
        <f>'Input Técnico'!L140</f>
        <v>0</v>
      </c>
      <c r="L19" s="74">
        <f>'Input Técnico'!M140</f>
        <v>0</v>
      </c>
      <c r="M19" s="74">
        <f>'Input Técnico'!N140</f>
        <v>0</v>
      </c>
      <c r="N19" s="74">
        <f>'Input Técnico'!O140</f>
        <v>0</v>
      </c>
      <c r="O19" s="164"/>
    </row>
    <row r="20" spans="1:15" x14ac:dyDescent="0.25">
      <c r="A20" s="33"/>
      <c r="B20" s="73" t="s">
        <v>20</v>
      </c>
      <c r="C20" s="36"/>
      <c r="D20" s="36"/>
      <c r="E20" s="76"/>
      <c r="F20" s="76"/>
      <c r="G20" s="76"/>
      <c r="H20" s="76"/>
      <c r="I20" s="76"/>
      <c r="J20" s="76"/>
      <c r="K20" s="76"/>
      <c r="L20" s="76"/>
      <c r="M20" s="76"/>
      <c r="N20" s="76"/>
      <c r="O20" s="164"/>
    </row>
    <row r="21" spans="1:15" x14ac:dyDescent="0.25">
      <c r="A21" s="131" t="s">
        <v>233</v>
      </c>
      <c r="B21" s="75" t="s">
        <v>181</v>
      </c>
      <c r="C21" s="36" t="s">
        <v>43</v>
      </c>
      <c r="D21" s="365" t="str">
        <f>IF('Input Técnico'!$D$143="Selecione a tiopologia do sistema de recolha a que o equipamento se destina"," ",IF('Input Técnico'!$D$143="Via pública","Via pública",IF('Input Técnico'!$D$143="Porta-a-porta","Porta-a-porta",IF('Input Técnico'!$D$143="Reciclagem na origem","Reciclagem na origem"," "))))</f>
        <v xml:space="preserve"> </v>
      </c>
      <c r="E21" s="165"/>
      <c r="F21" s="165"/>
      <c r="G21" s="165"/>
      <c r="H21" s="165"/>
      <c r="I21" s="165"/>
      <c r="J21" s="165"/>
      <c r="K21" s="165"/>
      <c r="L21" s="165"/>
      <c r="M21" s="165"/>
      <c r="N21" s="165"/>
      <c r="O21" s="164"/>
    </row>
    <row r="22" spans="1:15" x14ac:dyDescent="0.25">
      <c r="A22" s="131" t="s">
        <v>234</v>
      </c>
      <c r="B22" s="75" t="s">
        <v>115</v>
      </c>
      <c r="C22" s="36" t="s">
        <v>45</v>
      </c>
      <c r="D22" s="366"/>
      <c r="E22" s="74">
        <f>'Input Técnico'!F144</f>
        <v>0</v>
      </c>
      <c r="F22" s="74">
        <f>'Input Técnico'!G144</f>
        <v>0</v>
      </c>
      <c r="G22" s="74">
        <f>'Input Técnico'!H144</f>
        <v>0</v>
      </c>
      <c r="H22" s="74">
        <f>'Input Técnico'!I144</f>
        <v>0</v>
      </c>
      <c r="I22" s="74">
        <f>'Input Técnico'!J144</f>
        <v>0</v>
      </c>
      <c r="J22" s="74">
        <f>'Input Técnico'!K144</f>
        <v>0</v>
      </c>
      <c r="K22" s="74">
        <f>'Input Técnico'!L144</f>
        <v>0</v>
      </c>
      <c r="L22" s="74">
        <f>'Input Técnico'!M144</f>
        <v>0</v>
      </c>
      <c r="M22" s="74">
        <f>'Input Técnico'!N144</f>
        <v>0</v>
      </c>
      <c r="N22" s="74">
        <f>'Input Técnico'!O144</f>
        <v>0</v>
      </c>
      <c r="O22" s="164"/>
    </row>
    <row r="23" spans="1:15" x14ac:dyDescent="0.25">
      <c r="A23" s="33"/>
      <c r="B23" s="73" t="s">
        <v>21</v>
      </c>
      <c r="C23" s="36"/>
      <c r="D23" s="36"/>
      <c r="E23" s="76"/>
      <c r="F23" s="76"/>
      <c r="G23" s="76"/>
      <c r="H23" s="76"/>
      <c r="I23" s="76"/>
      <c r="J23" s="76"/>
      <c r="K23" s="76"/>
      <c r="L23" s="76"/>
      <c r="M23" s="76"/>
      <c r="N23" s="76"/>
      <c r="O23" s="164"/>
    </row>
    <row r="24" spans="1:15" x14ac:dyDescent="0.25">
      <c r="A24" s="131" t="s">
        <v>233</v>
      </c>
      <c r="B24" s="75" t="s">
        <v>181</v>
      </c>
      <c r="C24" s="36" t="s">
        <v>43</v>
      </c>
      <c r="D24" s="365" t="str">
        <f>IF('Input Técnico'!$D$147="Selecione a tiopologia do sistema de recolha a que o equipamento se destina"," ",IF('Input Técnico'!$D$147="Via pública","Via pública",IF('Input Técnico'!$D$147="Porta-a-porta","Porta-a-porta",IF('Input Técnico'!$D$147="Reciclagem na origem","Reciclagem na origem"," "))))</f>
        <v xml:space="preserve"> </v>
      </c>
      <c r="E24" s="165"/>
      <c r="F24" s="165"/>
      <c r="G24" s="165"/>
      <c r="H24" s="165"/>
      <c r="I24" s="165"/>
      <c r="J24" s="165"/>
      <c r="K24" s="165"/>
      <c r="L24" s="165"/>
      <c r="M24" s="165"/>
      <c r="N24" s="165"/>
      <c r="O24" s="164"/>
    </row>
    <row r="25" spans="1:15" x14ac:dyDescent="0.25">
      <c r="A25" s="131" t="s">
        <v>234</v>
      </c>
      <c r="B25" s="75" t="s">
        <v>115</v>
      </c>
      <c r="C25" s="36" t="s">
        <v>45</v>
      </c>
      <c r="D25" s="366"/>
      <c r="E25" s="74">
        <f>'Input Técnico'!F148</f>
        <v>0</v>
      </c>
      <c r="F25" s="74">
        <f>'Input Técnico'!G148</f>
        <v>0</v>
      </c>
      <c r="G25" s="74">
        <f>'Input Técnico'!H148</f>
        <v>0</v>
      </c>
      <c r="H25" s="74">
        <f>'Input Técnico'!I148</f>
        <v>0</v>
      </c>
      <c r="I25" s="74">
        <f>'Input Técnico'!J148</f>
        <v>0</v>
      </c>
      <c r="J25" s="74">
        <f>'Input Técnico'!K148</f>
        <v>0</v>
      </c>
      <c r="K25" s="74">
        <f>'Input Técnico'!L148</f>
        <v>0</v>
      </c>
      <c r="L25" s="74">
        <f>'Input Técnico'!M148</f>
        <v>0</v>
      </c>
      <c r="M25" s="74">
        <f>'Input Técnico'!N148</f>
        <v>0</v>
      </c>
      <c r="N25" s="74">
        <f>'Input Técnico'!O148</f>
        <v>0</v>
      </c>
      <c r="O25" s="164"/>
    </row>
    <row r="26" spans="1:15" x14ac:dyDescent="0.25">
      <c r="A26" s="33"/>
      <c r="B26" s="73" t="s">
        <v>445</v>
      </c>
      <c r="C26" s="36"/>
      <c r="D26" s="36"/>
      <c r="E26" s="76"/>
      <c r="F26" s="76"/>
      <c r="G26" s="76"/>
      <c r="H26" s="76"/>
      <c r="I26" s="76"/>
      <c r="J26" s="76"/>
      <c r="K26" s="76"/>
      <c r="L26" s="76"/>
      <c r="M26" s="76"/>
      <c r="N26" s="76"/>
      <c r="O26" s="164"/>
    </row>
    <row r="27" spans="1:15" x14ac:dyDescent="0.25">
      <c r="A27" s="131" t="s">
        <v>233</v>
      </c>
      <c r="B27" s="75" t="s">
        <v>181</v>
      </c>
      <c r="C27" s="36" t="s">
        <v>43</v>
      </c>
      <c r="D27" s="365" t="str">
        <f>IF('Input Técnico'!$D$151="Selecione a tiopologia do sistema de recolha a que o equipamento se destina"," ",IF('Input Técnico'!$D$151="Via pública","Via pública",IF('Input Técnico'!$D$151="Porta-a-porta","Porta-a-porta",IF('Input Técnico'!$D$151="Reciclagem na origem","Reciclagem na origem"," "))))</f>
        <v xml:space="preserve"> </v>
      </c>
      <c r="E27" s="165"/>
      <c r="F27" s="165"/>
      <c r="G27" s="165"/>
      <c r="H27" s="165"/>
      <c r="I27" s="165"/>
      <c r="J27" s="165"/>
      <c r="K27" s="165"/>
      <c r="L27" s="165"/>
      <c r="M27" s="165"/>
      <c r="N27" s="165"/>
      <c r="O27" s="164"/>
    </row>
    <row r="28" spans="1:15" x14ac:dyDescent="0.25">
      <c r="A28" s="131" t="s">
        <v>234</v>
      </c>
      <c r="B28" s="75" t="s">
        <v>115</v>
      </c>
      <c r="C28" s="36" t="s">
        <v>45</v>
      </c>
      <c r="D28" s="366"/>
      <c r="E28" s="74">
        <f>'Input Técnico'!F152</f>
        <v>0</v>
      </c>
      <c r="F28" s="74">
        <f>'Input Técnico'!G152</f>
        <v>0</v>
      </c>
      <c r="G28" s="74">
        <f>'Input Técnico'!H152</f>
        <v>0</v>
      </c>
      <c r="H28" s="74">
        <f>'Input Técnico'!I152</f>
        <v>0</v>
      </c>
      <c r="I28" s="74">
        <f>'Input Técnico'!J152</f>
        <v>0</v>
      </c>
      <c r="J28" s="74">
        <f>'Input Técnico'!K152</f>
        <v>0</v>
      </c>
      <c r="K28" s="74">
        <f>'Input Técnico'!L152</f>
        <v>0</v>
      </c>
      <c r="L28" s="74">
        <f>'Input Técnico'!M152</f>
        <v>0</v>
      </c>
      <c r="M28" s="74">
        <f>'Input Técnico'!N152</f>
        <v>0</v>
      </c>
      <c r="N28" s="74">
        <f>'Input Técnico'!O152</f>
        <v>0</v>
      </c>
      <c r="O28" s="164"/>
    </row>
    <row r="29" spans="1:15" x14ac:dyDescent="0.25">
      <c r="A29" s="33"/>
      <c r="B29" s="73" t="s">
        <v>446</v>
      </c>
      <c r="C29" s="36"/>
      <c r="D29" s="36"/>
      <c r="E29" s="76"/>
      <c r="F29" s="76"/>
      <c r="G29" s="76"/>
      <c r="H29" s="76"/>
      <c r="I29" s="76"/>
      <c r="J29" s="76"/>
      <c r="K29" s="76"/>
      <c r="L29" s="76"/>
      <c r="M29" s="76"/>
      <c r="N29" s="76"/>
      <c r="O29" s="164"/>
    </row>
    <row r="30" spans="1:15" x14ac:dyDescent="0.25">
      <c r="A30" s="131" t="s">
        <v>233</v>
      </c>
      <c r="B30" s="75" t="s">
        <v>181</v>
      </c>
      <c r="C30" s="36" t="s">
        <v>43</v>
      </c>
      <c r="D30" s="365" t="str">
        <f>IF('Input Técnico'!$D$155="Selecione a tiopologia do sistema de recolha a que o equipamento se destina"," ",IF('Input Técnico'!$D$155="Via pública","Via pública",IF('Input Técnico'!$D$155="Porta-a-porta","Porta-a-porta",IF('Input Técnico'!$D$155="Reciclagem na origem","Reciclagem na origem"," "))))</f>
        <v xml:space="preserve"> </v>
      </c>
      <c r="E30" s="165"/>
      <c r="F30" s="165"/>
      <c r="G30" s="165"/>
      <c r="H30" s="165"/>
      <c r="I30" s="165"/>
      <c r="J30" s="165"/>
      <c r="K30" s="165"/>
      <c r="L30" s="165"/>
      <c r="M30" s="165"/>
      <c r="N30" s="165"/>
      <c r="O30" s="164"/>
    </row>
    <row r="31" spans="1:15" x14ac:dyDescent="0.25">
      <c r="A31" s="131" t="s">
        <v>234</v>
      </c>
      <c r="B31" s="75" t="s">
        <v>115</v>
      </c>
      <c r="C31" s="36" t="s">
        <v>45</v>
      </c>
      <c r="D31" s="366"/>
      <c r="E31" s="74">
        <f>'Input Técnico'!F156</f>
        <v>0</v>
      </c>
      <c r="F31" s="74">
        <f>'Input Técnico'!G156</f>
        <v>0</v>
      </c>
      <c r="G31" s="74">
        <f>'Input Técnico'!H156</f>
        <v>0</v>
      </c>
      <c r="H31" s="74">
        <f>'Input Técnico'!I156</f>
        <v>0</v>
      </c>
      <c r="I31" s="74">
        <f>'Input Técnico'!J156</f>
        <v>0</v>
      </c>
      <c r="J31" s="74">
        <f>'Input Técnico'!K156</f>
        <v>0</v>
      </c>
      <c r="K31" s="74">
        <f>'Input Técnico'!L156</f>
        <v>0</v>
      </c>
      <c r="L31" s="74">
        <f>'Input Técnico'!M156</f>
        <v>0</v>
      </c>
      <c r="M31" s="74">
        <f>'Input Técnico'!N156</f>
        <v>0</v>
      </c>
      <c r="N31" s="74">
        <f>'Input Técnico'!O156</f>
        <v>0</v>
      </c>
      <c r="O31" s="164"/>
    </row>
    <row r="32" spans="1:15" x14ac:dyDescent="0.25">
      <c r="A32" s="33"/>
      <c r="B32" s="73" t="s">
        <v>447</v>
      </c>
      <c r="C32" s="36"/>
      <c r="D32" s="36"/>
      <c r="E32" s="76"/>
      <c r="F32" s="76"/>
      <c r="G32" s="76"/>
      <c r="H32" s="76"/>
      <c r="I32" s="76"/>
      <c r="J32" s="76"/>
      <c r="K32" s="76"/>
      <c r="L32" s="76"/>
      <c r="M32" s="76"/>
      <c r="N32" s="76"/>
      <c r="O32" s="164"/>
    </row>
    <row r="33" spans="1:15" x14ac:dyDescent="0.25">
      <c r="A33" s="131" t="s">
        <v>233</v>
      </c>
      <c r="B33" s="75" t="s">
        <v>181</v>
      </c>
      <c r="C33" s="36" t="s">
        <v>43</v>
      </c>
      <c r="D33" s="365" t="str">
        <f>IF('Input Técnico'!$D$159="Selecione a tiopologia do sistema de recolha a que o equipamento se destina"," ",IF('Input Técnico'!$D$159="Via pública","Via pública",IF('Input Técnico'!$D$159="Porta-a-porta","Porta-a-porta",IF('Input Técnico'!$D$159="Reciclagem na origem","Reciclagem na origem"," "))))</f>
        <v xml:space="preserve"> </v>
      </c>
      <c r="E33" s="165"/>
      <c r="F33" s="165"/>
      <c r="G33" s="165"/>
      <c r="H33" s="165"/>
      <c r="I33" s="165"/>
      <c r="J33" s="165"/>
      <c r="K33" s="165"/>
      <c r="L33" s="165"/>
      <c r="M33" s="165"/>
      <c r="N33" s="165"/>
      <c r="O33" s="164"/>
    </row>
    <row r="34" spans="1:15" x14ac:dyDescent="0.25">
      <c r="A34" s="131" t="s">
        <v>234</v>
      </c>
      <c r="B34" s="75" t="s">
        <v>115</v>
      </c>
      <c r="C34" s="36" t="s">
        <v>45</v>
      </c>
      <c r="D34" s="366"/>
      <c r="E34" s="74">
        <f>'Input Técnico'!F160</f>
        <v>0</v>
      </c>
      <c r="F34" s="74">
        <f>'Input Técnico'!G160</f>
        <v>0</v>
      </c>
      <c r="G34" s="74">
        <f>'Input Técnico'!H160</f>
        <v>0</v>
      </c>
      <c r="H34" s="74">
        <f>'Input Técnico'!I160</f>
        <v>0</v>
      </c>
      <c r="I34" s="74">
        <f>'Input Técnico'!J160</f>
        <v>0</v>
      </c>
      <c r="J34" s="74">
        <f>'Input Técnico'!K160</f>
        <v>0</v>
      </c>
      <c r="K34" s="74">
        <f>'Input Técnico'!L160</f>
        <v>0</v>
      </c>
      <c r="L34" s="74">
        <f>'Input Técnico'!M160</f>
        <v>0</v>
      </c>
      <c r="M34" s="74">
        <f>'Input Técnico'!N160</f>
        <v>0</v>
      </c>
      <c r="N34" s="74">
        <f>'Input Técnico'!O160</f>
        <v>0</v>
      </c>
      <c r="O34" s="164"/>
    </row>
    <row r="35" spans="1:15" x14ac:dyDescent="0.25">
      <c r="A35" s="33"/>
      <c r="B35" s="73" t="s">
        <v>448</v>
      </c>
      <c r="C35" s="36"/>
      <c r="D35" s="36"/>
      <c r="E35" s="76"/>
      <c r="F35" s="76"/>
      <c r="G35" s="76"/>
      <c r="H35" s="76"/>
      <c r="I35" s="76"/>
      <c r="J35" s="76"/>
      <c r="K35" s="76"/>
      <c r="L35" s="76"/>
      <c r="M35" s="76"/>
      <c r="N35" s="76"/>
      <c r="O35" s="164"/>
    </row>
    <row r="36" spans="1:15" x14ac:dyDescent="0.25">
      <c r="A36" s="131" t="s">
        <v>233</v>
      </c>
      <c r="B36" s="75" t="s">
        <v>181</v>
      </c>
      <c r="C36" s="36" t="s">
        <v>43</v>
      </c>
      <c r="D36" s="365" t="str">
        <f>IF('Input Técnico'!$D$163="Selecione a tiopologia do sistema de recolha a que o equipamento se destina"," ",IF('Input Técnico'!$D$163="Via pública","Via pública",IF('Input Técnico'!$D$163="Porta-a-porta","Porta-a-porta",IF('Input Técnico'!$D$163="Reciclagem na origem","Reciclagem na origem"," "))))</f>
        <v xml:space="preserve"> </v>
      </c>
      <c r="E36" s="165"/>
      <c r="F36" s="165"/>
      <c r="G36" s="165"/>
      <c r="H36" s="165"/>
      <c r="I36" s="165"/>
      <c r="J36" s="165"/>
      <c r="K36" s="165"/>
      <c r="L36" s="165"/>
      <c r="M36" s="165"/>
      <c r="N36" s="165"/>
      <c r="O36" s="164"/>
    </row>
    <row r="37" spans="1:15" x14ac:dyDescent="0.25">
      <c r="A37" s="131" t="s">
        <v>234</v>
      </c>
      <c r="B37" s="75" t="s">
        <v>115</v>
      </c>
      <c r="C37" s="36" t="s">
        <v>45</v>
      </c>
      <c r="D37" s="366"/>
      <c r="E37" s="74">
        <f>'Input Técnico'!F164</f>
        <v>0</v>
      </c>
      <c r="F37" s="74">
        <f>'Input Técnico'!G164</f>
        <v>0</v>
      </c>
      <c r="G37" s="74">
        <f>'Input Técnico'!H164</f>
        <v>0</v>
      </c>
      <c r="H37" s="74">
        <f>'Input Técnico'!I164</f>
        <v>0</v>
      </c>
      <c r="I37" s="74">
        <f>'Input Técnico'!J164</f>
        <v>0</v>
      </c>
      <c r="J37" s="74">
        <f>'Input Técnico'!K164</f>
        <v>0</v>
      </c>
      <c r="K37" s="74">
        <f>'Input Técnico'!L164</f>
        <v>0</v>
      </c>
      <c r="L37" s="74">
        <f>'Input Técnico'!M164</f>
        <v>0</v>
      </c>
      <c r="M37" s="74">
        <f>'Input Técnico'!N164</f>
        <v>0</v>
      </c>
      <c r="N37" s="74">
        <f>'Input Técnico'!O164</f>
        <v>0</v>
      </c>
      <c r="O37" s="164"/>
    </row>
    <row r="38" spans="1:15" x14ac:dyDescent="0.25">
      <c r="A38" s="33"/>
      <c r="B38" s="73" t="s">
        <v>449</v>
      </c>
      <c r="C38" s="36"/>
      <c r="D38" s="36"/>
      <c r="E38" s="76"/>
      <c r="F38" s="76"/>
      <c r="G38" s="76"/>
      <c r="H38" s="76"/>
      <c r="I38" s="76"/>
      <c r="J38" s="76"/>
      <c r="K38" s="76"/>
      <c r="L38" s="76"/>
      <c r="M38" s="76"/>
      <c r="N38" s="76"/>
      <c r="O38" s="164"/>
    </row>
    <row r="39" spans="1:15" x14ac:dyDescent="0.25">
      <c r="A39" s="131" t="s">
        <v>233</v>
      </c>
      <c r="B39" s="75" t="s">
        <v>181</v>
      </c>
      <c r="C39" s="36" t="s">
        <v>43</v>
      </c>
      <c r="D39" s="365" t="str">
        <f>IF('Input Técnico'!$D$167="Selecione a tiopologia do sistema de recolha a que o equipamento se destina"," ",IF('Input Técnico'!$D$167="Via pública","Via pública",IF('Input Técnico'!$D$167="Porta-a-porta","Porta-a-porta",IF('Input Técnico'!$D$167="Reciclagem na origem","Reciclagem na origem"," "))))</f>
        <v xml:space="preserve"> </v>
      </c>
      <c r="E39" s="165"/>
      <c r="F39" s="165"/>
      <c r="G39" s="165"/>
      <c r="H39" s="165"/>
      <c r="I39" s="165"/>
      <c r="J39" s="165"/>
      <c r="K39" s="165"/>
      <c r="L39" s="165"/>
      <c r="M39" s="165"/>
      <c r="N39" s="165"/>
      <c r="O39" s="164"/>
    </row>
    <row r="40" spans="1:15" x14ac:dyDescent="0.25">
      <c r="A40" s="131" t="s">
        <v>234</v>
      </c>
      <c r="B40" s="75" t="s">
        <v>115</v>
      </c>
      <c r="C40" s="36" t="s">
        <v>45</v>
      </c>
      <c r="D40" s="366"/>
      <c r="E40" s="74">
        <f>'Input Técnico'!F168</f>
        <v>0</v>
      </c>
      <c r="F40" s="74">
        <f>'Input Técnico'!G168</f>
        <v>0</v>
      </c>
      <c r="G40" s="74">
        <f>'Input Técnico'!H168</f>
        <v>0</v>
      </c>
      <c r="H40" s="74">
        <f>'Input Técnico'!I168</f>
        <v>0</v>
      </c>
      <c r="I40" s="74">
        <f>'Input Técnico'!J168</f>
        <v>0</v>
      </c>
      <c r="J40" s="74">
        <f>'Input Técnico'!K168</f>
        <v>0</v>
      </c>
      <c r="K40" s="74">
        <f>'Input Técnico'!L168</f>
        <v>0</v>
      </c>
      <c r="L40" s="74">
        <f>'Input Técnico'!M168</f>
        <v>0</v>
      </c>
      <c r="M40" s="74">
        <f>'Input Técnico'!N168</f>
        <v>0</v>
      </c>
      <c r="N40" s="74">
        <f>'Input Técnico'!O168</f>
        <v>0</v>
      </c>
      <c r="O40" s="164"/>
    </row>
    <row r="41" spans="1:15" x14ac:dyDescent="0.25">
      <c r="A41" s="146" t="s">
        <v>183</v>
      </c>
      <c r="B41" s="21" t="s">
        <v>44</v>
      </c>
      <c r="C41" s="22"/>
      <c r="D41" s="22"/>
      <c r="E41" s="23"/>
      <c r="F41" s="23"/>
      <c r="G41" s="23"/>
      <c r="H41" s="23"/>
      <c r="I41" s="23"/>
      <c r="J41" s="23"/>
      <c r="K41" s="23"/>
      <c r="L41" s="23"/>
      <c r="M41" s="23"/>
      <c r="N41" s="23"/>
      <c r="O41" s="35"/>
    </row>
    <row r="42" spans="1:15" x14ac:dyDescent="0.25">
      <c r="A42" s="33"/>
      <c r="B42" s="73" t="s">
        <v>22</v>
      </c>
      <c r="C42" s="36"/>
      <c r="D42" s="36"/>
      <c r="E42" s="76"/>
      <c r="F42" s="76"/>
      <c r="G42" s="76"/>
      <c r="H42" s="76"/>
      <c r="I42" s="76"/>
      <c r="J42" s="76"/>
      <c r="K42" s="76"/>
      <c r="L42" s="76"/>
      <c r="M42" s="76"/>
      <c r="N42" s="76"/>
      <c r="O42" s="164"/>
    </row>
    <row r="43" spans="1:15" x14ac:dyDescent="0.25">
      <c r="A43" s="131" t="s">
        <v>233</v>
      </c>
      <c r="B43" s="75" t="s">
        <v>181</v>
      </c>
      <c r="C43" s="36" t="s">
        <v>43</v>
      </c>
      <c r="D43" s="363" t="str">
        <f>IF('Input Técnico'!$D$180="Selecione a tiopologia do sistema de recolha a que o equipamento se destina"," ",IF('Input Técnico'!$D$180="Via pública","Via pública",IF('Input Técnico'!$D$180="Porta-a-porta","Porta-a-porta"," ")))</f>
        <v xml:space="preserve"> </v>
      </c>
      <c r="E43" s="292"/>
      <c r="F43" s="292"/>
      <c r="G43" s="292"/>
      <c r="H43" s="292"/>
      <c r="I43" s="292"/>
      <c r="J43" s="292"/>
      <c r="K43" s="292"/>
      <c r="L43" s="292"/>
      <c r="M43" s="292"/>
      <c r="N43" s="292"/>
      <c r="O43" s="164"/>
    </row>
    <row r="44" spans="1:15" x14ac:dyDescent="0.25">
      <c r="A44" s="131" t="s">
        <v>234</v>
      </c>
      <c r="B44" s="75" t="s">
        <v>115</v>
      </c>
      <c r="C44" s="36" t="s">
        <v>45</v>
      </c>
      <c r="D44" s="364"/>
      <c r="E44" s="74">
        <f>'Input Técnico'!F181</f>
        <v>0</v>
      </c>
      <c r="F44" s="74">
        <f>'Input Técnico'!G181</f>
        <v>0</v>
      </c>
      <c r="G44" s="74">
        <f>'Input Técnico'!H181</f>
        <v>0</v>
      </c>
      <c r="H44" s="74">
        <f>'Input Técnico'!I181</f>
        <v>0</v>
      </c>
      <c r="I44" s="74">
        <f>'Input Técnico'!J181</f>
        <v>0</v>
      </c>
      <c r="J44" s="74">
        <f>'Input Técnico'!K181</f>
        <v>0</v>
      </c>
      <c r="K44" s="74">
        <f>'Input Técnico'!L181</f>
        <v>0</v>
      </c>
      <c r="L44" s="74">
        <f>'Input Técnico'!M181</f>
        <v>0</v>
      </c>
      <c r="M44" s="74">
        <f>'Input Técnico'!N181</f>
        <v>0</v>
      </c>
      <c r="N44" s="74">
        <f>'Input Técnico'!O181</f>
        <v>0</v>
      </c>
      <c r="O44" s="164"/>
    </row>
    <row r="45" spans="1:15" x14ac:dyDescent="0.25">
      <c r="A45" s="33"/>
      <c r="B45" s="73" t="s">
        <v>24</v>
      </c>
      <c r="C45" s="36"/>
      <c r="D45" s="36"/>
      <c r="E45" s="76"/>
      <c r="F45" s="76"/>
      <c r="G45" s="76"/>
      <c r="H45" s="76"/>
      <c r="I45" s="76"/>
      <c r="J45" s="76"/>
      <c r="K45" s="76"/>
      <c r="L45" s="76"/>
      <c r="M45" s="76"/>
      <c r="N45" s="76"/>
      <c r="O45" s="164"/>
    </row>
    <row r="46" spans="1:15" x14ac:dyDescent="0.25">
      <c r="A46" s="131" t="s">
        <v>233</v>
      </c>
      <c r="B46" s="75" t="s">
        <v>181</v>
      </c>
      <c r="C46" s="36" t="s">
        <v>43</v>
      </c>
      <c r="D46" s="363" t="str">
        <f>IF('Input Técnico'!$D$184="Selecione a tiopologia do sistema de recolha a que o equipamento se destina"," ",IF('Input Técnico'!$D$184="Via pública","Via pública",IF('Input Técnico'!$D$184="Porta-a-porta","Porta-a-porta"," ")))</f>
        <v xml:space="preserve"> </v>
      </c>
      <c r="E46" s="292"/>
      <c r="F46" s="292"/>
      <c r="G46" s="292"/>
      <c r="H46" s="292"/>
      <c r="I46" s="292"/>
      <c r="J46" s="292"/>
      <c r="K46" s="292"/>
      <c r="L46" s="292"/>
      <c r="M46" s="292"/>
      <c r="N46" s="292"/>
      <c r="O46" s="164"/>
    </row>
    <row r="47" spans="1:15" x14ac:dyDescent="0.25">
      <c r="A47" s="131" t="s">
        <v>234</v>
      </c>
      <c r="B47" s="75" t="s">
        <v>115</v>
      </c>
      <c r="C47" s="36" t="s">
        <v>45</v>
      </c>
      <c r="D47" s="364"/>
      <c r="E47" s="74">
        <f>'Input Técnico'!F185</f>
        <v>0</v>
      </c>
      <c r="F47" s="74">
        <f>'Input Técnico'!G185</f>
        <v>0</v>
      </c>
      <c r="G47" s="74">
        <f>'Input Técnico'!H185</f>
        <v>0</v>
      </c>
      <c r="H47" s="74">
        <f>'Input Técnico'!I185</f>
        <v>0</v>
      </c>
      <c r="I47" s="74">
        <f>'Input Técnico'!J185</f>
        <v>0</v>
      </c>
      <c r="J47" s="74">
        <f>'Input Técnico'!K185</f>
        <v>0</v>
      </c>
      <c r="K47" s="74">
        <f>'Input Técnico'!L185</f>
        <v>0</v>
      </c>
      <c r="L47" s="74">
        <f>'Input Técnico'!M185</f>
        <v>0</v>
      </c>
      <c r="M47" s="74">
        <f>'Input Técnico'!N185</f>
        <v>0</v>
      </c>
      <c r="N47" s="74">
        <f>'Input Técnico'!O185</f>
        <v>0</v>
      </c>
      <c r="O47" s="164"/>
    </row>
    <row r="48" spans="1:15" x14ac:dyDescent="0.25">
      <c r="A48" s="33"/>
      <c r="B48" s="73" t="s">
        <v>25</v>
      </c>
      <c r="C48" s="36"/>
      <c r="D48" s="36"/>
      <c r="E48" s="76"/>
      <c r="F48" s="76"/>
      <c r="G48" s="76"/>
      <c r="H48" s="76"/>
      <c r="I48" s="76"/>
      <c r="J48" s="76"/>
      <c r="K48" s="76"/>
      <c r="L48" s="76"/>
      <c r="M48" s="76"/>
      <c r="N48" s="76"/>
      <c r="O48" s="164"/>
    </row>
    <row r="49" spans="1:15" x14ac:dyDescent="0.25">
      <c r="A49" s="131" t="s">
        <v>233</v>
      </c>
      <c r="B49" s="75" t="s">
        <v>181</v>
      </c>
      <c r="C49" s="36" t="s">
        <v>43</v>
      </c>
      <c r="D49" s="363" t="str">
        <f>IF('Input Técnico'!$D$188="Selecione a tiopologia do sistema de recolha a que o equipamento se destina"," ",IF('Input Técnico'!$D$188="Via pública","Via pública",IF('Input Técnico'!$D$188="Porta-a-porta","Porta-a-porta"," ")))</f>
        <v xml:space="preserve"> </v>
      </c>
      <c r="E49" s="292"/>
      <c r="F49" s="292"/>
      <c r="G49" s="292"/>
      <c r="H49" s="292"/>
      <c r="I49" s="292"/>
      <c r="J49" s="292"/>
      <c r="K49" s="292"/>
      <c r="L49" s="292"/>
      <c r="M49" s="292"/>
      <c r="N49" s="292"/>
      <c r="O49" s="164"/>
    </row>
    <row r="50" spans="1:15" x14ac:dyDescent="0.25">
      <c r="A50" s="131" t="s">
        <v>234</v>
      </c>
      <c r="B50" s="75" t="s">
        <v>115</v>
      </c>
      <c r="C50" s="36" t="s">
        <v>45</v>
      </c>
      <c r="D50" s="364"/>
      <c r="E50" s="74">
        <f>'Input Técnico'!F189</f>
        <v>0</v>
      </c>
      <c r="F50" s="74">
        <f>'Input Técnico'!G189</f>
        <v>0</v>
      </c>
      <c r="G50" s="74">
        <f>'Input Técnico'!H189</f>
        <v>0</v>
      </c>
      <c r="H50" s="74">
        <f>'Input Técnico'!I189</f>
        <v>0</v>
      </c>
      <c r="I50" s="74">
        <f>'Input Técnico'!J189</f>
        <v>0</v>
      </c>
      <c r="J50" s="74">
        <f>'Input Técnico'!K189</f>
        <v>0</v>
      </c>
      <c r="K50" s="74">
        <f>'Input Técnico'!L189</f>
        <v>0</v>
      </c>
      <c r="L50" s="74">
        <f>'Input Técnico'!M189</f>
        <v>0</v>
      </c>
      <c r="M50" s="74">
        <f>'Input Técnico'!N189</f>
        <v>0</v>
      </c>
      <c r="N50" s="74">
        <f>'Input Técnico'!O189</f>
        <v>0</v>
      </c>
      <c r="O50" s="164"/>
    </row>
    <row r="51" spans="1:15" x14ac:dyDescent="0.25">
      <c r="A51" s="33"/>
      <c r="B51" s="73" t="s">
        <v>26</v>
      </c>
      <c r="C51" s="36"/>
      <c r="D51" s="36"/>
      <c r="E51" s="76"/>
      <c r="F51" s="76"/>
      <c r="G51" s="76"/>
      <c r="H51" s="76"/>
      <c r="I51" s="76"/>
      <c r="J51" s="76"/>
      <c r="K51" s="76"/>
      <c r="L51" s="76"/>
      <c r="M51" s="76"/>
      <c r="N51" s="76"/>
      <c r="O51" s="164"/>
    </row>
    <row r="52" spans="1:15" x14ac:dyDescent="0.25">
      <c r="A52" s="131" t="s">
        <v>233</v>
      </c>
      <c r="B52" s="75" t="s">
        <v>181</v>
      </c>
      <c r="C52" s="36" t="s">
        <v>43</v>
      </c>
      <c r="D52" s="363" t="str">
        <f>IF('Input Técnico'!$D$192="Selecione a tiopologia do sistema de recolha a que o equipamento se destina"," ",IF('Input Técnico'!$D$192="Via pública","Via pública",IF('Input Técnico'!$D$192="Porta-a-porta","Porta-a-porta"," ")))</f>
        <v xml:space="preserve"> </v>
      </c>
      <c r="E52" s="292"/>
      <c r="F52" s="292"/>
      <c r="G52" s="292"/>
      <c r="H52" s="292"/>
      <c r="I52" s="292"/>
      <c r="J52" s="292"/>
      <c r="K52" s="292"/>
      <c r="L52" s="292"/>
      <c r="M52" s="292"/>
      <c r="N52" s="292"/>
      <c r="O52" s="164"/>
    </row>
    <row r="53" spans="1:15" x14ac:dyDescent="0.25">
      <c r="A53" s="131" t="s">
        <v>234</v>
      </c>
      <c r="B53" s="75" t="s">
        <v>115</v>
      </c>
      <c r="C53" s="36" t="s">
        <v>45</v>
      </c>
      <c r="D53" s="364"/>
      <c r="E53" s="74">
        <f>'Input Técnico'!F193</f>
        <v>0</v>
      </c>
      <c r="F53" s="74">
        <f>'Input Técnico'!G193</f>
        <v>0</v>
      </c>
      <c r="G53" s="74">
        <f>'Input Técnico'!H193</f>
        <v>0</v>
      </c>
      <c r="H53" s="74">
        <f>'Input Técnico'!I193</f>
        <v>0</v>
      </c>
      <c r="I53" s="74">
        <f>'Input Técnico'!J193</f>
        <v>0</v>
      </c>
      <c r="J53" s="74">
        <f>'Input Técnico'!K193</f>
        <v>0</v>
      </c>
      <c r="K53" s="74">
        <f>'Input Técnico'!L193</f>
        <v>0</v>
      </c>
      <c r="L53" s="74">
        <f>'Input Técnico'!M193</f>
        <v>0</v>
      </c>
      <c r="M53" s="74">
        <f>'Input Técnico'!N193</f>
        <v>0</v>
      </c>
      <c r="N53" s="74">
        <f>'Input Técnico'!O193</f>
        <v>0</v>
      </c>
      <c r="O53" s="164"/>
    </row>
    <row r="54" spans="1:15" x14ac:dyDescent="0.25">
      <c r="A54" s="33"/>
      <c r="B54" s="73" t="s">
        <v>27</v>
      </c>
      <c r="C54" s="36"/>
      <c r="D54" s="36"/>
      <c r="E54" s="76"/>
      <c r="F54" s="76"/>
      <c r="G54" s="76"/>
      <c r="H54" s="76"/>
      <c r="I54" s="76"/>
      <c r="J54" s="76"/>
      <c r="K54" s="76"/>
      <c r="L54" s="76"/>
      <c r="M54" s="76"/>
      <c r="N54" s="76"/>
      <c r="O54" s="164"/>
    </row>
    <row r="55" spans="1:15" x14ac:dyDescent="0.25">
      <c r="A55" s="131" t="s">
        <v>233</v>
      </c>
      <c r="B55" s="75" t="s">
        <v>181</v>
      </c>
      <c r="C55" s="36" t="s">
        <v>43</v>
      </c>
      <c r="D55" s="363" t="str">
        <f>IF('Input Técnico'!$D$196="Selecione a tiopologia do sistema de recolha a que o equipamento se destina"," ",IF('Input Técnico'!$D$196="Via pública","Via pública",IF('Input Técnico'!$D$196="Porta-a-porta","Porta-a-porta"," ")))</f>
        <v xml:space="preserve"> </v>
      </c>
      <c r="E55" s="165"/>
      <c r="F55" s="165"/>
      <c r="G55" s="165"/>
      <c r="H55" s="165"/>
      <c r="I55" s="165"/>
      <c r="J55" s="165"/>
      <c r="K55" s="165"/>
      <c r="L55" s="165"/>
      <c r="M55" s="165"/>
      <c r="N55" s="165"/>
      <c r="O55" s="164"/>
    </row>
    <row r="56" spans="1:15" x14ac:dyDescent="0.25">
      <c r="A56" s="131" t="s">
        <v>234</v>
      </c>
      <c r="B56" s="75" t="s">
        <v>115</v>
      </c>
      <c r="C56" s="36" t="s">
        <v>45</v>
      </c>
      <c r="D56" s="364"/>
      <c r="E56" s="74">
        <f>'Input Técnico'!F197</f>
        <v>0</v>
      </c>
      <c r="F56" s="74">
        <f>'Input Técnico'!G197</f>
        <v>0</v>
      </c>
      <c r="G56" s="74">
        <f>'Input Técnico'!H197</f>
        <v>0</v>
      </c>
      <c r="H56" s="74">
        <f>'Input Técnico'!I197</f>
        <v>0</v>
      </c>
      <c r="I56" s="74">
        <f>'Input Técnico'!J197</f>
        <v>0</v>
      </c>
      <c r="J56" s="74">
        <f>'Input Técnico'!K197</f>
        <v>0</v>
      </c>
      <c r="K56" s="74">
        <f>'Input Técnico'!L197</f>
        <v>0</v>
      </c>
      <c r="L56" s="74">
        <f>'Input Técnico'!M197</f>
        <v>0</v>
      </c>
      <c r="M56" s="74">
        <f>'Input Técnico'!N197</f>
        <v>0</v>
      </c>
      <c r="N56" s="74">
        <f>'Input Técnico'!O197</f>
        <v>0</v>
      </c>
      <c r="O56" s="164"/>
    </row>
    <row r="57" spans="1:15" x14ac:dyDescent="0.25">
      <c r="A57" s="33"/>
      <c r="B57" s="73" t="s">
        <v>450</v>
      </c>
      <c r="C57" s="36"/>
      <c r="D57" s="36"/>
      <c r="E57" s="76"/>
      <c r="F57" s="76"/>
      <c r="G57" s="76"/>
      <c r="H57" s="76"/>
      <c r="I57" s="76"/>
      <c r="J57" s="76"/>
      <c r="K57" s="76"/>
      <c r="L57" s="76"/>
      <c r="M57" s="76"/>
      <c r="N57" s="76"/>
      <c r="O57" s="164"/>
    </row>
    <row r="58" spans="1:15" x14ac:dyDescent="0.25">
      <c r="A58" s="131" t="s">
        <v>233</v>
      </c>
      <c r="B58" s="75" t="s">
        <v>181</v>
      </c>
      <c r="C58" s="36" t="s">
        <v>43</v>
      </c>
      <c r="D58" s="363" t="str">
        <f>IF('Input Técnico'!$D$200="Selecione a tiopologia do sistema de recolha a que o equipamento se destina"," ",IF('Input Técnico'!$D$200="Via pública","Via pública",IF('Input Técnico'!$D$200="Porta-a-porta","Porta-a-porta"," ")))</f>
        <v xml:space="preserve"> </v>
      </c>
      <c r="E58" s="165"/>
      <c r="F58" s="165"/>
      <c r="G58" s="165"/>
      <c r="H58" s="165"/>
      <c r="I58" s="165"/>
      <c r="J58" s="165"/>
      <c r="K58" s="165"/>
      <c r="L58" s="165"/>
      <c r="M58" s="165"/>
      <c r="N58" s="165"/>
      <c r="O58" s="164"/>
    </row>
    <row r="59" spans="1:15" x14ac:dyDescent="0.25">
      <c r="A59" s="131" t="s">
        <v>234</v>
      </c>
      <c r="B59" s="75" t="s">
        <v>115</v>
      </c>
      <c r="C59" s="36" t="s">
        <v>45</v>
      </c>
      <c r="D59" s="364"/>
      <c r="E59" s="74">
        <f>'Input Técnico'!F201</f>
        <v>0</v>
      </c>
      <c r="F59" s="74">
        <f>'Input Técnico'!G201</f>
        <v>0</v>
      </c>
      <c r="G59" s="74">
        <f>'Input Técnico'!H201</f>
        <v>0</v>
      </c>
      <c r="H59" s="74">
        <f>'Input Técnico'!I201</f>
        <v>0</v>
      </c>
      <c r="I59" s="74">
        <f>'Input Técnico'!J201</f>
        <v>0</v>
      </c>
      <c r="J59" s="74">
        <f>'Input Técnico'!K201</f>
        <v>0</v>
      </c>
      <c r="K59" s="74">
        <f>'Input Técnico'!L201</f>
        <v>0</v>
      </c>
      <c r="L59" s="74">
        <f>'Input Técnico'!M201</f>
        <v>0</v>
      </c>
      <c r="M59" s="74">
        <f>'Input Técnico'!N201</f>
        <v>0</v>
      </c>
      <c r="N59" s="74">
        <f>'Input Técnico'!O201</f>
        <v>0</v>
      </c>
      <c r="O59" s="164"/>
    </row>
    <row r="60" spans="1:15" x14ac:dyDescent="0.25">
      <c r="A60" s="33"/>
      <c r="B60" s="73" t="s">
        <v>451</v>
      </c>
      <c r="C60" s="36"/>
      <c r="D60" s="36"/>
      <c r="E60" s="76"/>
      <c r="F60" s="76"/>
      <c r="G60" s="76"/>
      <c r="H60" s="76"/>
      <c r="I60" s="76"/>
      <c r="J60" s="76"/>
      <c r="K60" s="76"/>
      <c r="L60" s="76"/>
      <c r="M60" s="76"/>
      <c r="N60" s="76"/>
      <c r="O60" s="164"/>
    </row>
    <row r="61" spans="1:15" x14ac:dyDescent="0.25">
      <c r="A61" s="131" t="s">
        <v>233</v>
      </c>
      <c r="B61" s="75" t="s">
        <v>181</v>
      </c>
      <c r="C61" s="36" t="s">
        <v>43</v>
      </c>
      <c r="D61" s="363" t="str">
        <f>IF('Input Técnico'!$D$204="Selecione a tiopologia do sistema de recolha a que o equipamento se destina"," ",IF('Input Técnico'!$D$204="Via pública","Via pública",IF('Input Técnico'!$D$204="Porta-a-porta","Porta-a-porta"," ")))</f>
        <v xml:space="preserve"> </v>
      </c>
      <c r="E61" s="165"/>
      <c r="F61" s="165"/>
      <c r="G61" s="165"/>
      <c r="H61" s="165"/>
      <c r="I61" s="165"/>
      <c r="J61" s="165"/>
      <c r="K61" s="165"/>
      <c r="L61" s="165"/>
      <c r="M61" s="165"/>
      <c r="N61" s="165"/>
      <c r="O61" s="164"/>
    </row>
    <row r="62" spans="1:15" x14ac:dyDescent="0.25">
      <c r="A62" s="131" t="s">
        <v>234</v>
      </c>
      <c r="B62" s="75" t="s">
        <v>115</v>
      </c>
      <c r="C62" s="36" t="s">
        <v>45</v>
      </c>
      <c r="D62" s="364"/>
      <c r="E62" s="74">
        <f>'Input Técnico'!F205</f>
        <v>0</v>
      </c>
      <c r="F62" s="74">
        <f>'Input Técnico'!G205</f>
        <v>0</v>
      </c>
      <c r="G62" s="74">
        <f>'Input Técnico'!H205</f>
        <v>0</v>
      </c>
      <c r="H62" s="74">
        <f>'Input Técnico'!I205</f>
        <v>0</v>
      </c>
      <c r="I62" s="74">
        <f>'Input Técnico'!J205</f>
        <v>0</v>
      </c>
      <c r="J62" s="74">
        <f>'Input Técnico'!K205</f>
        <v>0</v>
      </c>
      <c r="K62" s="74">
        <f>'Input Técnico'!L205</f>
        <v>0</v>
      </c>
      <c r="L62" s="74">
        <f>'Input Técnico'!M205</f>
        <v>0</v>
      </c>
      <c r="M62" s="74">
        <f>'Input Técnico'!N205</f>
        <v>0</v>
      </c>
      <c r="N62" s="74">
        <f>'Input Técnico'!O205</f>
        <v>0</v>
      </c>
      <c r="O62" s="164"/>
    </row>
    <row r="63" spans="1:15" x14ac:dyDescent="0.25">
      <c r="A63" s="33"/>
      <c r="B63" s="73" t="s">
        <v>500</v>
      </c>
      <c r="C63" s="36"/>
      <c r="D63" s="36"/>
      <c r="E63" s="76"/>
      <c r="F63" s="76"/>
      <c r="G63" s="76"/>
      <c r="H63" s="76"/>
      <c r="I63" s="76"/>
      <c r="J63" s="76"/>
      <c r="K63" s="76"/>
      <c r="L63" s="76"/>
      <c r="M63" s="76"/>
      <c r="N63" s="76"/>
      <c r="O63" s="164"/>
    </row>
    <row r="64" spans="1:15" x14ac:dyDescent="0.25">
      <c r="A64" s="131" t="s">
        <v>233</v>
      </c>
      <c r="B64" s="75" t="s">
        <v>181</v>
      </c>
      <c r="C64" s="36" t="s">
        <v>43</v>
      </c>
      <c r="D64" s="363" t="str">
        <f>IF('Input Técnico'!$D$208="Selecione a tiopologia do sistema de recolha a que o equipamento se destina"," ",IF('Input Técnico'!$D$208="Via pública","Via pública",IF('Input Técnico'!$D$208="Porta-a-porta","Porta-a-porta"," ")))</f>
        <v xml:space="preserve"> </v>
      </c>
      <c r="E64" s="165"/>
      <c r="F64" s="165"/>
      <c r="G64" s="165"/>
      <c r="H64" s="165"/>
      <c r="I64" s="165"/>
      <c r="J64" s="165"/>
      <c r="K64" s="165"/>
      <c r="L64" s="165"/>
      <c r="M64" s="165"/>
      <c r="N64" s="165"/>
      <c r="O64" s="164"/>
    </row>
    <row r="65" spans="1:15" x14ac:dyDescent="0.25">
      <c r="A65" s="131" t="s">
        <v>234</v>
      </c>
      <c r="B65" s="75" t="s">
        <v>115</v>
      </c>
      <c r="C65" s="36" t="s">
        <v>45</v>
      </c>
      <c r="D65" s="364"/>
      <c r="E65" s="74">
        <f>'Input Técnico'!F209</f>
        <v>0</v>
      </c>
      <c r="F65" s="74">
        <f>'Input Técnico'!G209</f>
        <v>0</v>
      </c>
      <c r="G65" s="74">
        <f>'Input Técnico'!H209</f>
        <v>0</v>
      </c>
      <c r="H65" s="74">
        <f>'Input Técnico'!I209</f>
        <v>0</v>
      </c>
      <c r="I65" s="74">
        <f>'Input Técnico'!J209</f>
        <v>0</v>
      </c>
      <c r="J65" s="74">
        <f>'Input Técnico'!K209</f>
        <v>0</v>
      </c>
      <c r="K65" s="74">
        <f>'Input Técnico'!L209</f>
        <v>0</v>
      </c>
      <c r="L65" s="74">
        <f>'Input Técnico'!M209</f>
        <v>0</v>
      </c>
      <c r="M65" s="74">
        <f>'Input Técnico'!N209</f>
        <v>0</v>
      </c>
      <c r="N65" s="74">
        <f>'Input Técnico'!O209</f>
        <v>0</v>
      </c>
      <c r="O65" s="164"/>
    </row>
    <row r="66" spans="1:15" x14ac:dyDescent="0.25">
      <c r="A66" s="146" t="s">
        <v>184</v>
      </c>
      <c r="B66" s="21" t="s">
        <v>80</v>
      </c>
      <c r="C66" s="22"/>
      <c r="D66" s="22"/>
      <c r="E66" s="23"/>
      <c r="F66" s="23"/>
      <c r="G66" s="23"/>
      <c r="H66" s="23"/>
      <c r="I66" s="23"/>
      <c r="J66" s="23"/>
      <c r="K66" s="23"/>
      <c r="L66" s="23"/>
      <c r="M66" s="23"/>
      <c r="N66" s="23"/>
      <c r="O66" s="35"/>
    </row>
    <row r="67" spans="1:15" x14ac:dyDescent="0.25">
      <c r="A67" s="33"/>
      <c r="B67" s="73" t="s">
        <v>511</v>
      </c>
      <c r="C67" s="36"/>
      <c r="D67" s="36"/>
      <c r="E67" s="36"/>
      <c r="F67" s="36"/>
      <c r="G67" s="36"/>
      <c r="H67" s="36"/>
      <c r="I67" s="36"/>
      <c r="J67" s="36"/>
      <c r="K67" s="36"/>
      <c r="L67" s="36"/>
      <c r="M67" s="36"/>
      <c r="N67" s="36"/>
      <c r="O67" s="164"/>
    </row>
    <row r="68" spans="1:15" x14ac:dyDescent="0.25">
      <c r="A68" s="131" t="s">
        <v>233</v>
      </c>
      <c r="B68" s="75" t="s">
        <v>181</v>
      </c>
      <c r="C68" s="36" t="s">
        <v>43</v>
      </c>
      <c r="D68" s="36"/>
      <c r="E68" s="280"/>
      <c r="F68" s="237"/>
      <c r="G68" s="165"/>
      <c r="H68" s="165"/>
      <c r="I68" s="165"/>
      <c r="J68" s="165"/>
      <c r="K68" s="165"/>
      <c r="L68" s="165"/>
      <c r="M68" s="165"/>
      <c r="N68" s="165"/>
      <c r="O68" s="164"/>
    </row>
    <row r="69" spans="1:15" x14ac:dyDescent="0.25">
      <c r="A69" s="131" t="s">
        <v>234</v>
      </c>
      <c r="B69" s="75" t="s">
        <v>115</v>
      </c>
      <c r="C69" s="36" t="s">
        <v>45</v>
      </c>
      <c r="D69" s="36"/>
      <c r="E69" s="281"/>
      <c r="F69" s="238"/>
      <c r="G69" s="168"/>
      <c r="H69" s="168"/>
      <c r="I69" s="168"/>
      <c r="J69" s="168"/>
      <c r="K69" s="168"/>
      <c r="L69" s="168"/>
      <c r="M69" s="168"/>
      <c r="N69" s="169"/>
      <c r="O69" s="164"/>
    </row>
    <row r="70" spans="1:15" x14ac:dyDescent="0.25">
      <c r="A70" s="33"/>
      <c r="B70" s="73" t="s">
        <v>512</v>
      </c>
      <c r="C70" s="36"/>
      <c r="D70" s="36"/>
      <c r="E70" s="36"/>
      <c r="F70" s="36"/>
      <c r="G70" s="36"/>
      <c r="H70" s="36"/>
      <c r="I70" s="36"/>
      <c r="J70" s="36"/>
      <c r="K70" s="36"/>
      <c r="L70" s="36"/>
      <c r="M70" s="36"/>
      <c r="N70" s="36"/>
      <c r="O70" s="164"/>
    </row>
    <row r="71" spans="1:15" x14ac:dyDescent="0.25">
      <c r="A71" s="131" t="s">
        <v>233</v>
      </c>
      <c r="B71" s="75" t="s">
        <v>181</v>
      </c>
      <c r="C71" s="36" t="s">
        <v>43</v>
      </c>
      <c r="D71" s="36"/>
      <c r="E71" s="237"/>
      <c r="F71" s="280"/>
      <c r="G71" s="165"/>
      <c r="H71" s="165"/>
      <c r="I71" s="165"/>
      <c r="J71" s="165"/>
      <c r="K71" s="165"/>
      <c r="L71" s="165"/>
      <c r="M71" s="165"/>
      <c r="N71" s="165"/>
      <c r="O71" s="164"/>
    </row>
    <row r="72" spans="1:15" x14ac:dyDescent="0.25">
      <c r="A72" s="131" t="s">
        <v>234</v>
      </c>
      <c r="B72" s="75" t="s">
        <v>115</v>
      </c>
      <c r="C72" s="36" t="s">
        <v>45</v>
      </c>
      <c r="D72" s="36"/>
      <c r="E72" s="238"/>
      <c r="F72" s="281"/>
      <c r="G72" s="168"/>
      <c r="H72" s="168"/>
      <c r="I72" s="168"/>
      <c r="J72" s="168"/>
      <c r="K72" s="168"/>
      <c r="L72" s="168"/>
      <c r="M72" s="168"/>
      <c r="N72" s="169"/>
      <c r="O72" s="164"/>
    </row>
    <row r="73" spans="1:15" x14ac:dyDescent="0.25">
      <c r="A73" s="33"/>
      <c r="B73" s="73" t="s">
        <v>513</v>
      </c>
      <c r="C73" s="36"/>
      <c r="D73" s="36"/>
      <c r="E73" s="36"/>
      <c r="F73" s="36"/>
      <c r="G73" s="36"/>
      <c r="H73" s="36"/>
      <c r="I73" s="36"/>
      <c r="J73" s="36"/>
      <c r="K73" s="36"/>
      <c r="L73" s="36"/>
      <c r="M73" s="36"/>
      <c r="N73" s="36"/>
      <c r="O73" s="164"/>
    </row>
    <row r="74" spans="1:15" x14ac:dyDescent="0.25">
      <c r="A74" s="131" t="s">
        <v>233</v>
      </c>
      <c r="B74" s="75" t="s">
        <v>181</v>
      </c>
      <c r="C74" s="36" t="s">
        <v>43</v>
      </c>
      <c r="D74" s="36"/>
      <c r="E74" s="165"/>
      <c r="F74" s="165"/>
      <c r="G74" s="280"/>
      <c r="H74" s="165"/>
      <c r="I74" s="165"/>
      <c r="J74" s="165"/>
      <c r="K74" s="165"/>
      <c r="L74" s="165"/>
      <c r="M74" s="165"/>
      <c r="N74" s="165"/>
      <c r="O74" s="164"/>
    </row>
    <row r="75" spans="1:15" x14ac:dyDescent="0.25">
      <c r="A75" s="131" t="s">
        <v>234</v>
      </c>
      <c r="B75" s="75" t="s">
        <v>115</v>
      </c>
      <c r="C75" s="36" t="s">
        <v>45</v>
      </c>
      <c r="D75" s="36"/>
      <c r="E75" s="168"/>
      <c r="F75" s="168"/>
      <c r="G75" s="281"/>
      <c r="H75" s="168"/>
      <c r="I75" s="168"/>
      <c r="J75" s="168"/>
      <c r="K75" s="168"/>
      <c r="L75" s="168"/>
      <c r="M75" s="168"/>
      <c r="N75" s="169"/>
      <c r="O75" s="164"/>
    </row>
    <row r="76" spans="1:15" x14ac:dyDescent="0.25">
      <c r="A76" s="146" t="s">
        <v>185</v>
      </c>
      <c r="B76" s="21" t="s">
        <v>223</v>
      </c>
      <c r="C76" s="22"/>
      <c r="D76" s="22"/>
      <c r="E76" s="23"/>
      <c r="F76" s="23"/>
      <c r="G76" s="23"/>
      <c r="H76" s="23"/>
      <c r="I76" s="23"/>
      <c r="J76" s="23"/>
      <c r="K76" s="23"/>
      <c r="L76" s="23"/>
      <c r="M76" s="23"/>
      <c r="N76" s="23"/>
      <c r="O76" s="21"/>
    </row>
    <row r="77" spans="1:15" x14ac:dyDescent="0.25">
      <c r="A77" s="33"/>
      <c r="B77" s="73" t="s">
        <v>116</v>
      </c>
      <c r="C77" s="36"/>
      <c r="D77" s="36"/>
      <c r="E77" s="36"/>
      <c r="F77" s="36"/>
      <c r="G77" s="36"/>
      <c r="H77" s="36"/>
      <c r="I77" s="36"/>
      <c r="J77" s="36"/>
      <c r="K77" s="36"/>
      <c r="L77" s="36"/>
      <c r="M77" s="36"/>
      <c r="N77" s="36"/>
      <c r="O77" s="164"/>
    </row>
    <row r="78" spans="1:15" x14ac:dyDescent="0.25">
      <c r="A78" s="131" t="s">
        <v>233</v>
      </c>
      <c r="B78" s="75" t="s">
        <v>181</v>
      </c>
      <c r="C78" s="36" t="s">
        <v>43</v>
      </c>
      <c r="D78" s="36"/>
      <c r="E78" s="280"/>
      <c r="F78" s="280"/>
      <c r="G78" s="280"/>
      <c r="H78" s="236"/>
      <c r="I78" s="236"/>
      <c r="J78" s="236"/>
      <c r="K78" s="236"/>
      <c r="L78" s="236"/>
      <c r="M78" s="236"/>
      <c r="N78" s="236"/>
      <c r="O78" s="164"/>
    </row>
    <row r="79" spans="1:15" x14ac:dyDescent="0.25">
      <c r="A79" s="131" t="s">
        <v>234</v>
      </c>
      <c r="B79" s="75" t="s">
        <v>115</v>
      </c>
      <c r="C79" s="36" t="s">
        <v>45</v>
      </c>
      <c r="D79" s="36"/>
      <c r="E79" s="281"/>
      <c r="F79" s="281"/>
      <c r="G79" s="281"/>
      <c r="H79" s="238"/>
      <c r="I79" s="238"/>
      <c r="J79" s="238"/>
      <c r="K79" s="238"/>
      <c r="L79" s="238"/>
      <c r="M79" s="238"/>
      <c r="N79" s="241"/>
      <c r="O79" s="164"/>
    </row>
    <row r="80" spans="1:15" x14ac:dyDescent="0.25">
      <c r="A80" s="33"/>
      <c r="B80" s="73" t="s">
        <v>117</v>
      </c>
      <c r="C80" s="36"/>
      <c r="D80" s="36"/>
      <c r="E80" s="239"/>
      <c r="F80" s="239"/>
      <c r="G80" s="239"/>
      <c r="H80" s="239"/>
      <c r="I80" s="239"/>
      <c r="J80" s="239"/>
      <c r="K80" s="239"/>
      <c r="L80" s="239"/>
      <c r="M80" s="239"/>
      <c r="N80" s="239"/>
      <c r="O80" s="164"/>
    </row>
    <row r="81" spans="1:15" x14ac:dyDescent="0.25">
      <c r="A81" s="131" t="s">
        <v>233</v>
      </c>
      <c r="B81" s="75" t="s">
        <v>181</v>
      </c>
      <c r="C81" s="36" t="s">
        <v>43</v>
      </c>
      <c r="D81" s="36"/>
      <c r="E81" s="282"/>
      <c r="F81" s="280"/>
      <c r="G81" s="282"/>
      <c r="H81" s="240"/>
      <c r="I81" s="240"/>
      <c r="J81" s="240"/>
      <c r="K81" s="240"/>
      <c r="L81" s="240"/>
      <c r="M81" s="240"/>
      <c r="N81" s="240"/>
      <c r="O81" s="164"/>
    </row>
    <row r="82" spans="1:15" x14ac:dyDescent="0.25">
      <c r="A82" s="131" t="s">
        <v>234</v>
      </c>
      <c r="B82" s="75" t="s">
        <v>115</v>
      </c>
      <c r="C82" s="36" t="s">
        <v>45</v>
      </c>
      <c r="D82" s="36"/>
      <c r="E82" s="174"/>
      <c r="F82" s="281"/>
      <c r="G82" s="174"/>
      <c r="H82" s="238"/>
      <c r="I82" s="238"/>
      <c r="J82" s="238"/>
      <c r="K82" s="238"/>
      <c r="L82" s="238"/>
      <c r="M82" s="238"/>
      <c r="N82" s="238"/>
      <c r="O82" s="164"/>
    </row>
    <row r="83" spans="1:15" x14ac:dyDescent="0.25">
      <c r="A83" s="33"/>
      <c r="B83" s="73" t="s">
        <v>118</v>
      </c>
      <c r="C83" s="36"/>
      <c r="D83" s="36"/>
      <c r="E83" s="239"/>
      <c r="F83" s="239"/>
      <c r="G83" s="239"/>
      <c r="H83" s="239"/>
      <c r="I83" s="239"/>
      <c r="J83" s="239"/>
      <c r="K83" s="239"/>
      <c r="L83" s="239"/>
      <c r="M83" s="239"/>
      <c r="N83" s="239"/>
      <c r="O83" s="164"/>
    </row>
    <row r="84" spans="1:15" x14ac:dyDescent="0.25">
      <c r="A84" s="131" t="s">
        <v>233</v>
      </c>
      <c r="B84" s="75" t="s">
        <v>181</v>
      </c>
      <c r="C84" s="36" t="s">
        <v>43</v>
      </c>
      <c r="D84" s="36"/>
      <c r="E84" s="280"/>
      <c r="F84" s="280"/>
      <c r="G84" s="237"/>
      <c r="H84" s="237"/>
      <c r="I84" s="237"/>
      <c r="J84" s="237"/>
      <c r="K84" s="237"/>
      <c r="L84" s="237"/>
      <c r="M84" s="237"/>
      <c r="N84" s="237"/>
      <c r="O84" s="164"/>
    </row>
    <row r="85" spans="1:15" x14ac:dyDescent="0.25">
      <c r="A85" s="131" t="s">
        <v>234</v>
      </c>
      <c r="B85" s="75" t="s">
        <v>115</v>
      </c>
      <c r="C85" s="36" t="s">
        <v>45</v>
      </c>
      <c r="D85" s="36"/>
      <c r="E85" s="174"/>
      <c r="F85" s="281"/>
      <c r="G85" s="238"/>
      <c r="H85" s="238"/>
      <c r="I85" s="238"/>
      <c r="J85" s="238"/>
      <c r="K85" s="238"/>
      <c r="L85" s="238"/>
      <c r="M85" s="238"/>
      <c r="N85" s="241"/>
      <c r="O85" s="164"/>
    </row>
    <row r="86" spans="1:15" x14ac:dyDescent="0.25">
      <c r="A86" s="33"/>
      <c r="B86" s="73" t="s">
        <v>119</v>
      </c>
      <c r="C86" s="36"/>
      <c r="D86" s="36"/>
      <c r="E86" s="76"/>
      <c r="F86" s="76"/>
      <c r="G86" s="76"/>
      <c r="H86" s="76"/>
      <c r="I86" s="76"/>
      <c r="J86" s="76"/>
      <c r="K86" s="76"/>
      <c r="L86" s="76"/>
      <c r="M86" s="76"/>
      <c r="N86" s="76"/>
      <c r="O86" s="164"/>
    </row>
    <row r="87" spans="1:15" x14ac:dyDescent="0.25">
      <c r="A87" s="131" t="s">
        <v>233</v>
      </c>
      <c r="B87" s="75" t="s">
        <v>181</v>
      </c>
      <c r="C87" s="36" t="s">
        <v>43</v>
      </c>
      <c r="D87" s="36"/>
      <c r="E87" s="280"/>
      <c r="F87" s="170"/>
      <c r="G87" s="170"/>
      <c r="H87" s="170"/>
      <c r="I87" s="170"/>
      <c r="J87" s="170"/>
      <c r="K87" s="170"/>
      <c r="L87" s="170"/>
      <c r="M87" s="170"/>
      <c r="N87" s="170"/>
      <c r="O87" s="164"/>
    </row>
    <row r="88" spans="1:15" x14ac:dyDescent="0.25">
      <c r="A88" s="131" t="s">
        <v>234</v>
      </c>
      <c r="B88" s="75" t="s">
        <v>115</v>
      </c>
      <c r="C88" s="36" t="s">
        <v>45</v>
      </c>
      <c r="D88" s="36"/>
      <c r="E88" s="281"/>
      <c r="F88" s="171"/>
      <c r="G88" s="171"/>
      <c r="H88" s="171"/>
      <c r="I88" s="171"/>
      <c r="J88" s="171"/>
      <c r="K88" s="171"/>
      <c r="L88" s="171"/>
      <c r="M88" s="171"/>
      <c r="N88" s="171"/>
      <c r="O88" s="164"/>
    </row>
    <row r="89" spans="1:15" x14ac:dyDescent="0.25">
      <c r="A89" s="33"/>
      <c r="B89" s="73" t="s">
        <v>501</v>
      </c>
      <c r="C89" s="36"/>
      <c r="D89" s="36"/>
      <c r="E89" s="36"/>
      <c r="F89" s="36"/>
      <c r="G89" s="36"/>
      <c r="H89" s="36"/>
      <c r="I89" s="36"/>
      <c r="J89" s="36"/>
      <c r="K89" s="36"/>
      <c r="L89" s="36"/>
      <c r="M89" s="36"/>
      <c r="N89" s="36"/>
      <c r="O89" s="164"/>
    </row>
    <row r="90" spans="1:15" x14ac:dyDescent="0.25">
      <c r="A90" s="131" t="s">
        <v>233</v>
      </c>
      <c r="B90" s="75" t="s">
        <v>181</v>
      </c>
      <c r="C90" s="36" t="s">
        <v>43</v>
      </c>
      <c r="D90" s="36"/>
      <c r="E90" s="166"/>
      <c r="F90" s="280"/>
      <c r="G90" s="166"/>
      <c r="H90" s="166"/>
      <c r="I90" s="166"/>
      <c r="J90" s="166"/>
      <c r="K90" s="166"/>
      <c r="L90" s="166"/>
      <c r="M90" s="166"/>
      <c r="N90" s="167"/>
      <c r="O90" s="164"/>
    </row>
    <row r="91" spans="1:15" x14ac:dyDescent="0.25">
      <c r="A91" s="131" t="s">
        <v>234</v>
      </c>
      <c r="B91" s="75" t="s">
        <v>115</v>
      </c>
      <c r="C91" s="36" t="s">
        <v>45</v>
      </c>
      <c r="D91" s="36"/>
      <c r="E91" s="168"/>
      <c r="F91" s="281"/>
      <c r="G91" s="168"/>
      <c r="H91" s="168"/>
      <c r="I91" s="168"/>
      <c r="J91" s="168"/>
      <c r="K91" s="168"/>
      <c r="L91" s="168"/>
      <c r="M91" s="168"/>
      <c r="N91" s="169"/>
      <c r="O91" s="164"/>
    </row>
    <row r="92" spans="1:15" x14ac:dyDescent="0.25">
      <c r="A92" s="33"/>
      <c r="B92" s="73" t="s">
        <v>502</v>
      </c>
      <c r="C92" s="36"/>
      <c r="D92" s="36"/>
      <c r="E92" s="36"/>
      <c r="F92" s="36"/>
      <c r="G92" s="36"/>
      <c r="H92" s="36"/>
      <c r="I92" s="36"/>
      <c r="J92" s="36"/>
      <c r="K92" s="36"/>
      <c r="L92" s="36"/>
      <c r="M92" s="36"/>
      <c r="N92" s="36"/>
      <c r="O92" s="164"/>
    </row>
    <row r="93" spans="1:15" x14ac:dyDescent="0.25">
      <c r="A93" s="131" t="s">
        <v>233</v>
      </c>
      <c r="B93" s="75" t="s">
        <v>181</v>
      </c>
      <c r="C93" s="36" t="s">
        <v>43</v>
      </c>
      <c r="D93" s="36"/>
      <c r="E93" s="166"/>
      <c r="F93" s="166"/>
      <c r="G93" s="280"/>
      <c r="H93" s="280"/>
      <c r="I93" s="166"/>
      <c r="J93" s="166"/>
      <c r="K93" s="166"/>
      <c r="L93" s="166"/>
      <c r="M93" s="166"/>
      <c r="N93" s="167"/>
      <c r="O93" s="164"/>
    </row>
    <row r="94" spans="1:15" x14ac:dyDescent="0.25">
      <c r="A94" s="131" t="s">
        <v>234</v>
      </c>
      <c r="B94" s="75" t="s">
        <v>115</v>
      </c>
      <c r="C94" s="36" t="s">
        <v>45</v>
      </c>
      <c r="D94" s="36"/>
      <c r="E94" s="168"/>
      <c r="F94" s="168"/>
      <c r="G94" s="281"/>
      <c r="H94" s="281"/>
      <c r="I94" s="168"/>
      <c r="J94" s="168"/>
      <c r="K94" s="168"/>
      <c r="L94" s="168"/>
      <c r="M94" s="168"/>
      <c r="N94" s="169"/>
      <c r="O94" s="164"/>
    </row>
    <row r="95" spans="1:15" ht="15.75" x14ac:dyDescent="0.25">
      <c r="A95" s="146" t="s">
        <v>186</v>
      </c>
      <c r="B95" s="21" t="s">
        <v>47</v>
      </c>
      <c r="C95" s="22"/>
      <c r="D95" s="22"/>
      <c r="E95" s="23"/>
      <c r="F95" s="23"/>
      <c r="G95" s="23"/>
      <c r="H95" s="23"/>
      <c r="I95" s="23"/>
      <c r="J95" s="23"/>
      <c r="K95" s="23"/>
      <c r="L95" s="23"/>
      <c r="M95" s="23"/>
      <c r="N95" s="23"/>
      <c r="O95" s="29"/>
    </row>
    <row r="96" spans="1:15" x14ac:dyDescent="0.25">
      <c r="A96" s="33"/>
      <c r="B96" s="73" t="s">
        <v>120</v>
      </c>
      <c r="C96" s="36"/>
      <c r="D96" s="36"/>
      <c r="E96" s="36"/>
      <c r="F96" s="36"/>
      <c r="G96" s="36"/>
      <c r="H96" s="36"/>
      <c r="I96" s="36"/>
      <c r="J96" s="36"/>
      <c r="K96" s="36"/>
      <c r="L96" s="36"/>
      <c r="M96" s="36"/>
      <c r="N96" s="36"/>
      <c r="O96" s="164"/>
    </row>
    <row r="97" spans="1:15" x14ac:dyDescent="0.25">
      <c r="A97" s="131" t="s">
        <v>233</v>
      </c>
      <c r="B97" s="75" t="s">
        <v>181</v>
      </c>
      <c r="C97" s="36" t="s">
        <v>43</v>
      </c>
      <c r="D97" s="36"/>
      <c r="E97" s="280"/>
      <c r="F97" s="237"/>
      <c r="G97" s="237"/>
      <c r="H97" s="237"/>
      <c r="I97" s="237"/>
      <c r="J97" s="237"/>
      <c r="K97" s="237"/>
      <c r="L97" s="165"/>
      <c r="M97" s="165"/>
      <c r="N97" s="165"/>
      <c r="O97" s="164"/>
    </row>
    <row r="98" spans="1:15" x14ac:dyDescent="0.25">
      <c r="A98" s="131" t="s">
        <v>234</v>
      </c>
      <c r="B98" s="75" t="s">
        <v>115</v>
      </c>
      <c r="C98" s="36" t="s">
        <v>45</v>
      </c>
      <c r="D98" s="36"/>
      <c r="E98" s="281"/>
      <c r="F98" s="238"/>
      <c r="G98" s="238"/>
      <c r="H98" s="238"/>
      <c r="I98" s="238"/>
      <c r="J98" s="238"/>
      <c r="K98" s="238"/>
      <c r="L98" s="168"/>
      <c r="M98" s="168"/>
      <c r="N98" s="169"/>
      <c r="O98" s="164"/>
    </row>
    <row r="99" spans="1:15" x14ac:dyDescent="0.25">
      <c r="A99" s="33"/>
      <c r="B99" s="73" t="s">
        <v>121</v>
      </c>
      <c r="C99" s="36"/>
      <c r="D99" s="36"/>
      <c r="E99" s="36"/>
      <c r="F99" s="36"/>
      <c r="G99" s="36"/>
      <c r="H99" s="36"/>
      <c r="I99" s="36"/>
      <c r="J99" s="36"/>
      <c r="K99" s="36"/>
      <c r="L99" s="36"/>
      <c r="M99" s="36"/>
      <c r="N99" s="36"/>
      <c r="O99" s="164"/>
    </row>
    <row r="100" spans="1:15" x14ac:dyDescent="0.25">
      <c r="A100" s="131" t="s">
        <v>233</v>
      </c>
      <c r="B100" s="75" t="s">
        <v>181</v>
      </c>
      <c r="C100" s="36" t="s">
        <v>43</v>
      </c>
      <c r="D100" s="36"/>
      <c r="E100" s="237"/>
      <c r="F100" s="280"/>
      <c r="G100" s="237"/>
      <c r="H100" s="237"/>
      <c r="I100" s="237"/>
      <c r="J100" s="237"/>
      <c r="K100" s="237"/>
      <c r="L100" s="165"/>
      <c r="M100" s="165"/>
      <c r="N100" s="165"/>
      <c r="O100" s="164"/>
    </row>
    <row r="101" spans="1:15" x14ac:dyDescent="0.25">
      <c r="A101" s="131" t="s">
        <v>234</v>
      </c>
      <c r="B101" s="75" t="s">
        <v>115</v>
      </c>
      <c r="C101" s="36" t="s">
        <v>45</v>
      </c>
      <c r="D101" s="36"/>
      <c r="E101" s="238"/>
      <c r="F101" s="281"/>
      <c r="G101" s="238"/>
      <c r="H101" s="238"/>
      <c r="I101" s="238"/>
      <c r="J101" s="238"/>
      <c r="K101" s="238"/>
      <c r="L101" s="168"/>
      <c r="M101" s="168"/>
      <c r="N101" s="169"/>
      <c r="O101" s="164"/>
    </row>
    <row r="102" spans="1:15" x14ac:dyDescent="0.25">
      <c r="A102" s="33"/>
      <c r="B102" s="73" t="s">
        <v>122</v>
      </c>
      <c r="C102" s="36"/>
      <c r="D102" s="36"/>
      <c r="E102" s="36"/>
      <c r="F102" s="36"/>
      <c r="G102" s="36"/>
      <c r="H102" s="36"/>
      <c r="I102" s="36"/>
      <c r="J102" s="36"/>
      <c r="K102" s="36"/>
      <c r="L102" s="36"/>
      <c r="M102" s="36"/>
      <c r="N102" s="36"/>
      <c r="O102" s="164"/>
    </row>
    <row r="103" spans="1:15" x14ac:dyDescent="0.25">
      <c r="A103" s="131" t="s">
        <v>233</v>
      </c>
      <c r="B103" s="75" t="s">
        <v>181</v>
      </c>
      <c r="C103" s="36" t="s">
        <v>43</v>
      </c>
      <c r="D103" s="36"/>
      <c r="E103" s="165"/>
      <c r="F103" s="165"/>
      <c r="G103" s="280"/>
      <c r="H103" s="165"/>
      <c r="I103" s="165"/>
      <c r="J103" s="165"/>
      <c r="K103" s="165"/>
      <c r="L103" s="165"/>
      <c r="M103" s="165"/>
      <c r="N103" s="165"/>
      <c r="O103" s="164"/>
    </row>
    <row r="104" spans="1:15" x14ac:dyDescent="0.25">
      <c r="A104" s="131" t="s">
        <v>234</v>
      </c>
      <c r="B104" s="75" t="s">
        <v>115</v>
      </c>
      <c r="C104" s="36" t="s">
        <v>45</v>
      </c>
      <c r="D104" s="36"/>
      <c r="E104" s="168"/>
      <c r="F104" s="168"/>
      <c r="G104" s="281"/>
      <c r="H104" s="168"/>
      <c r="I104" s="168"/>
      <c r="J104" s="168"/>
      <c r="K104" s="168"/>
      <c r="L104" s="168"/>
      <c r="M104" s="168"/>
      <c r="N104" s="169"/>
      <c r="O104" s="164"/>
    </row>
    <row r="105" spans="1:15" ht="15.75" x14ac:dyDescent="0.25">
      <c r="A105" s="146" t="s">
        <v>187</v>
      </c>
      <c r="B105" s="25" t="s">
        <v>222</v>
      </c>
      <c r="C105" s="22"/>
      <c r="D105" s="22"/>
      <c r="E105" s="26"/>
      <c r="F105" s="26"/>
      <c r="G105" s="26"/>
      <c r="H105" s="26"/>
      <c r="I105" s="26"/>
      <c r="J105" s="26"/>
      <c r="K105" s="26"/>
      <c r="L105" s="26"/>
      <c r="M105" s="26"/>
      <c r="N105" s="26"/>
      <c r="O105" s="29"/>
    </row>
    <row r="106" spans="1:15" x14ac:dyDescent="0.25">
      <c r="A106" s="131" t="s">
        <v>406</v>
      </c>
      <c r="B106" s="73" t="s">
        <v>222</v>
      </c>
      <c r="C106" s="36" t="s">
        <v>43</v>
      </c>
      <c r="D106" s="36"/>
      <c r="E106" s="170"/>
      <c r="F106" s="170"/>
      <c r="G106" s="170"/>
      <c r="H106" s="170"/>
      <c r="I106" s="170"/>
      <c r="J106" s="170"/>
      <c r="K106" s="170"/>
      <c r="L106" s="170"/>
      <c r="M106" s="170"/>
      <c r="N106" s="170"/>
      <c r="O106" s="164"/>
    </row>
    <row r="107" spans="1:15" x14ac:dyDescent="0.25">
      <c r="A107" s="19" t="s">
        <v>96</v>
      </c>
      <c r="B107" s="19" t="s">
        <v>125</v>
      </c>
      <c r="C107" s="27"/>
      <c r="D107" s="27"/>
      <c r="E107" s="20"/>
      <c r="F107" s="20"/>
      <c r="G107" s="20"/>
      <c r="H107" s="20"/>
      <c r="I107" s="20"/>
      <c r="J107" s="20"/>
      <c r="K107" s="20"/>
      <c r="L107" s="20"/>
      <c r="M107" s="20"/>
      <c r="N107" s="20"/>
      <c r="O107" s="20"/>
    </row>
    <row r="108" spans="1:15" x14ac:dyDescent="0.25">
      <c r="A108" s="146" t="s">
        <v>188</v>
      </c>
      <c r="B108" s="146" t="s">
        <v>56</v>
      </c>
      <c r="C108" s="146"/>
      <c r="D108" s="146"/>
      <c r="E108" s="146"/>
      <c r="F108" s="146"/>
      <c r="G108" s="146"/>
      <c r="H108" s="146"/>
      <c r="I108" s="146"/>
      <c r="J108" s="146"/>
      <c r="K108" s="146"/>
      <c r="L108" s="146"/>
      <c r="M108" s="146"/>
      <c r="N108" s="146"/>
      <c r="O108" s="146"/>
    </row>
    <row r="109" spans="1:15" ht="15.75" x14ac:dyDescent="0.25">
      <c r="A109" s="131" t="s">
        <v>401</v>
      </c>
      <c r="B109" s="77" t="s">
        <v>48</v>
      </c>
      <c r="C109" s="30" t="s">
        <v>43</v>
      </c>
      <c r="D109" s="30"/>
      <c r="E109" s="278"/>
      <c r="F109" s="278"/>
      <c r="G109" s="278"/>
      <c r="H109" s="278"/>
      <c r="I109" s="278"/>
      <c r="J109" s="278"/>
      <c r="K109" s="278"/>
      <c r="L109" s="278"/>
      <c r="M109" s="278"/>
      <c r="N109" s="278"/>
      <c r="O109" s="164"/>
    </row>
    <row r="110" spans="1:15" ht="15.75" x14ac:dyDescent="0.25">
      <c r="A110" s="131" t="s">
        <v>402</v>
      </c>
      <c r="B110" s="77" t="s">
        <v>49</v>
      </c>
      <c r="C110" s="30" t="s">
        <v>43</v>
      </c>
      <c r="D110" s="30"/>
      <c r="E110" s="278"/>
      <c r="F110" s="278"/>
      <c r="G110" s="278"/>
      <c r="H110" s="278"/>
      <c r="I110" s="278"/>
      <c r="J110" s="278"/>
      <c r="K110" s="278"/>
      <c r="L110" s="278"/>
      <c r="M110" s="278"/>
      <c r="N110" s="278"/>
      <c r="O110" s="164"/>
    </row>
    <row r="111" spans="1:15" ht="15.75" x14ac:dyDescent="0.25">
      <c r="A111" s="146" t="s">
        <v>189</v>
      </c>
      <c r="B111" s="146" t="s">
        <v>677</v>
      </c>
      <c r="C111" s="31"/>
      <c r="D111" s="31"/>
      <c r="E111" s="31"/>
      <c r="F111" s="31"/>
      <c r="G111" s="31"/>
      <c r="H111" s="31"/>
      <c r="I111" s="31"/>
      <c r="J111" s="31"/>
      <c r="K111" s="31"/>
      <c r="L111" s="31"/>
      <c r="M111" s="31"/>
      <c r="N111" s="31"/>
      <c r="O111" s="31"/>
    </row>
    <row r="112" spans="1:15" ht="15.75" x14ac:dyDescent="0.25">
      <c r="A112" s="227" t="s">
        <v>598</v>
      </c>
      <c r="B112" s="77" t="s">
        <v>679</v>
      </c>
      <c r="C112" s="30" t="s">
        <v>605</v>
      </c>
      <c r="D112" s="30"/>
      <c r="E112" s="278"/>
      <c r="F112" s="278"/>
      <c r="G112" s="278"/>
      <c r="H112" s="278"/>
      <c r="I112" s="278"/>
      <c r="J112" s="278"/>
      <c r="K112" s="278"/>
      <c r="L112" s="278"/>
      <c r="M112" s="278"/>
      <c r="N112" s="278"/>
      <c r="O112" s="164"/>
    </row>
    <row r="113" spans="1:15" ht="15.75" x14ac:dyDescent="0.25">
      <c r="A113" s="228" t="s">
        <v>190</v>
      </c>
      <c r="B113" s="31" t="s">
        <v>400</v>
      </c>
      <c r="C113" s="28"/>
      <c r="D113" s="28"/>
      <c r="E113" s="32"/>
      <c r="F113" s="32"/>
      <c r="G113" s="32"/>
      <c r="H113" s="32"/>
      <c r="I113" s="32"/>
      <c r="J113" s="32"/>
      <c r="K113" s="32"/>
      <c r="L113" s="32"/>
      <c r="M113" s="32"/>
      <c r="N113" s="32"/>
      <c r="O113" s="29"/>
    </row>
    <row r="114" spans="1:15" ht="15.75" x14ac:dyDescent="0.25">
      <c r="A114" s="33"/>
      <c r="B114" s="77" t="s">
        <v>126</v>
      </c>
      <c r="C114" s="30"/>
      <c r="D114" s="30"/>
      <c r="E114" s="30"/>
      <c r="F114" s="30"/>
      <c r="G114" s="30"/>
      <c r="H114" s="30"/>
      <c r="I114" s="30"/>
      <c r="J114" s="30"/>
      <c r="K114" s="30"/>
      <c r="L114" s="30"/>
      <c r="M114" s="30"/>
      <c r="N114" s="30"/>
      <c r="O114" s="164"/>
    </row>
    <row r="115" spans="1:15" ht="15.75" x14ac:dyDescent="0.25">
      <c r="A115" s="131" t="s">
        <v>233</v>
      </c>
      <c r="B115" s="75" t="s">
        <v>181</v>
      </c>
      <c r="C115" s="30" t="s">
        <v>43</v>
      </c>
      <c r="D115" s="30"/>
      <c r="E115" s="237"/>
      <c r="F115" s="237"/>
      <c r="G115" s="237"/>
      <c r="H115" s="237"/>
      <c r="I115" s="237"/>
      <c r="J115" s="237"/>
      <c r="K115" s="237"/>
      <c r="L115" s="237"/>
      <c r="M115" s="237"/>
      <c r="N115" s="237"/>
      <c r="O115" s="164"/>
    </row>
    <row r="116" spans="1:15" ht="15.75" x14ac:dyDescent="0.25">
      <c r="A116" s="131" t="s">
        <v>234</v>
      </c>
      <c r="B116" s="78" t="s">
        <v>115</v>
      </c>
      <c r="C116" s="30" t="s">
        <v>45</v>
      </c>
      <c r="D116" s="30"/>
      <c r="E116" s="238"/>
      <c r="F116" s="238"/>
      <c r="G116" s="238"/>
      <c r="H116" s="238"/>
      <c r="I116" s="238"/>
      <c r="J116" s="238"/>
      <c r="K116" s="238"/>
      <c r="L116" s="238"/>
      <c r="M116" s="238"/>
      <c r="N116" s="241"/>
      <c r="O116" s="164"/>
    </row>
    <row r="117" spans="1:15" ht="15.75" x14ac:dyDescent="0.25">
      <c r="A117" s="33"/>
      <c r="B117" s="77" t="s">
        <v>176</v>
      </c>
      <c r="C117" s="30"/>
      <c r="D117" s="30"/>
      <c r="E117" s="30"/>
      <c r="F117" s="30"/>
      <c r="G117" s="30"/>
      <c r="H117" s="30"/>
      <c r="I117" s="30"/>
      <c r="J117" s="30"/>
      <c r="K117" s="30"/>
      <c r="L117" s="30"/>
      <c r="M117" s="30"/>
      <c r="N117" s="30"/>
      <c r="O117" s="164"/>
    </row>
    <row r="118" spans="1:15" ht="15.75" x14ac:dyDescent="0.25">
      <c r="A118" s="131" t="s">
        <v>233</v>
      </c>
      <c r="B118" s="75" t="s">
        <v>181</v>
      </c>
      <c r="C118" s="30" t="s">
        <v>43</v>
      </c>
      <c r="D118" s="30"/>
      <c r="E118" s="166"/>
      <c r="F118" s="166"/>
      <c r="G118" s="166"/>
      <c r="H118" s="166"/>
      <c r="I118" s="166"/>
      <c r="J118" s="166"/>
      <c r="K118" s="166"/>
      <c r="L118" s="166"/>
      <c r="M118" s="166"/>
      <c r="N118" s="166"/>
      <c r="O118" s="164"/>
    </row>
    <row r="119" spans="1:15" ht="15.75" x14ac:dyDescent="0.25">
      <c r="A119" s="131" t="s">
        <v>234</v>
      </c>
      <c r="B119" s="78" t="s">
        <v>115</v>
      </c>
      <c r="C119" s="30" t="s">
        <v>45</v>
      </c>
      <c r="D119" s="30"/>
      <c r="E119" s="168"/>
      <c r="F119" s="168"/>
      <c r="G119" s="168"/>
      <c r="H119" s="168"/>
      <c r="I119" s="168"/>
      <c r="J119" s="168"/>
      <c r="K119" s="168"/>
      <c r="L119" s="168"/>
      <c r="M119" s="168"/>
      <c r="N119" s="168"/>
      <c r="O119" s="164"/>
    </row>
    <row r="120" spans="1:15" ht="15.75" x14ac:dyDescent="0.25">
      <c r="A120" s="33"/>
      <c r="B120" s="77" t="s">
        <v>177</v>
      </c>
      <c r="C120" s="30"/>
      <c r="D120" s="30"/>
      <c r="E120" s="30"/>
      <c r="F120" s="30"/>
      <c r="G120" s="30"/>
      <c r="H120" s="30"/>
      <c r="I120" s="30"/>
      <c r="J120" s="30"/>
      <c r="K120" s="30"/>
      <c r="L120" s="30"/>
      <c r="M120" s="30"/>
      <c r="N120" s="30"/>
      <c r="O120" s="164"/>
    </row>
    <row r="121" spans="1:15" ht="15.75" x14ac:dyDescent="0.25">
      <c r="A121" s="131" t="s">
        <v>233</v>
      </c>
      <c r="B121" s="75" t="s">
        <v>181</v>
      </c>
      <c r="C121" s="30" t="s">
        <v>43</v>
      </c>
      <c r="D121" s="30"/>
      <c r="E121" s="166"/>
      <c r="F121" s="166"/>
      <c r="G121" s="166"/>
      <c r="H121" s="166"/>
      <c r="I121" s="166"/>
      <c r="J121" s="166"/>
      <c r="K121" s="166"/>
      <c r="L121" s="166"/>
      <c r="M121" s="166"/>
      <c r="N121" s="167"/>
      <c r="O121" s="164"/>
    </row>
    <row r="122" spans="1:15" ht="15.75" x14ac:dyDescent="0.25">
      <c r="A122" s="131" t="s">
        <v>234</v>
      </c>
      <c r="B122" s="78" t="s">
        <v>115</v>
      </c>
      <c r="C122" s="30" t="s">
        <v>45</v>
      </c>
      <c r="D122" s="30"/>
      <c r="E122" s="168"/>
      <c r="F122" s="168"/>
      <c r="G122" s="168"/>
      <c r="H122" s="168"/>
      <c r="I122" s="168"/>
      <c r="J122" s="168"/>
      <c r="K122" s="168"/>
      <c r="L122" s="168"/>
      <c r="M122" s="168"/>
      <c r="N122" s="169"/>
      <c r="O122" s="164"/>
    </row>
    <row r="123" spans="1:15" ht="15.75" x14ac:dyDescent="0.25">
      <c r="A123" s="33"/>
      <c r="B123" s="77" t="s">
        <v>179</v>
      </c>
      <c r="C123" s="30"/>
      <c r="D123" s="30"/>
      <c r="E123" s="30"/>
      <c r="F123" s="30"/>
      <c r="G123" s="30"/>
      <c r="H123" s="30"/>
      <c r="I123" s="30"/>
      <c r="J123" s="30"/>
      <c r="K123" s="30"/>
      <c r="L123" s="30"/>
      <c r="M123" s="30"/>
      <c r="N123" s="30"/>
      <c r="O123" s="164"/>
    </row>
    <row r="124" spans="1:15" ht="15.75" x14ac:dyDescent="0.25">
      <c r="A124" s="131" t="s">
        <v>233</v>
      </c>
      <c r="B124" s="75" t="s">
        <v>181</v>
      </c>
      <c r="C124" s="30" t="s">
        <v>43</v>
      </c>
      <c r="D124" s="30"/>
      <c r="E124" s="166"/>
      <c r="F124" s="166"/>
      <c r="G124" s="166"/>
      <c r="H124" s="166"/>
      <c r="I124" s="166"/>
      <c r="J124" s="166"/>
      <c r="K124" s="166"/>
      <c r="L124" s="166"/>
      <c r="M124" s="166"/>
      <c r="N124" s="167"/>
      <c r="O124" s="164"/>
    </row>
    <row r="125" spans="1:15" ht="15.75" x14ac:dyDescent="0.25">
      <c r="A125" s="131" t="s">
        <v>234</v>
      </c>
      <c r="B125" s="78" t="s">
        <v>115</v>
      </c>
      <c r="C125" s="30" t="s">
        <v>45</v>
      </c>
      <c r="D125" s="30"/>
      <c r="E125" s="168"/>
      <c r="F125" s="168"/>
      <c r="G125" s="168"/>
      <c r="H125" s="168"/>
      <c r="I125" s="168"/>
      <c r="J125" s="168"/>
      <c r="K125" s="168"/>
      <c r="L125" s="168"/>
      <c r="M125" s="168"/>
      <c r="N125" s="169"/>
      <c r="O125" s="164"/>
    </row>
    <row r="126" spans="1:15" ht="15.75" x14ac:dyDescent="0.25">
      <c r="A126" s="33"/>
      <c r="B126" s="77" t="s">
        <v>178</v>
      </c>
      <c r="C126" s="30"/>
      <c r="D126" s="30"/>
      <c r="E126" s="30"/>
      <c r="F126" s="30"/>
      <c r="G126" s="30"/>
      <c r="H126" s="30"/>
      <c r="I126" s="30"/>
      <c r="J126" s="30"/>
      <c r="K126" s="30"/>
      <c r="L126" s="30"/>
      <c r="M126" s="30"/>
      <c r="N126" s="30"/>
      <c r="O126" s="164"/>
    </row>
    <row r="127" spans="1:15" ht="15.75" x14ac:dyDescent="0.25">
      <c r="A127" s="131" t="s">
        <v>233</v>
      </c>
      <c r="B127" s="75" t="s">
        <v>181</v>
      </c>
      <c r="C127" s="30" t="s">
        <v>43</v>
      </c>
      <c r="D127" s="30"/>
      <c r="E127" s="166"/>
      <c r="F127" s="166"/>
      <c r="G127" s="166"/>
      <c r="H127" s="166"/>
      <c r="I127" s="166"/>
      <c r="J127" s="166"/>
      <c r="K127" s="166"/>
      <c r="L127" s="166"/>
      <c r="M127" s="166"/>
      <c r="N127" s="167"/>
      <c r="O127" s="164"/>
    </row>
    <row r="128" spans="1:15" ht="15.75" x14ac:dyDescent="0.25">
      <c r="A128" s="131" t="s">
        <v>234</v>
      </c>
      <c r="B128" s="78" t="s">
        <v>115</v>
      </c>
      <c r="C128" s="30" t="s">
        <v>45</v>
      </c>
      <c r="D128" s="30"/>
      <c r="E128" s="168"/>
      <c r="F128" s="168"/>
      <c r="G128" s="168"/>
      <c r="H128" s="168"/>
      <c r="I128" s="168"/>
      <c r="J128" s="168"/>
      <c r="K128" s="168"/>
      <c r="L128" s="168"/>
      <c r="M128" s="168"/>
      <c r="N128" s="169"/>
      <c r="O128" s="164"/>
    </row>
    <row r="129" spans="1:15" ht="15.75" x14ac:dyDescent="0.25">
      <c r="A129" s="33"/>
      <c r="B129" s="77" t="s">
        <v>180</v>
      </c>
      <c r="C129" s="30"/>
      <c r="D129" s="30"/>
      <c r="E129" s="30"/>
      <c r="F129" s="30"/>
      <c r="G129" s="30"/>
      <c r="H129" s="30"/>
      <c r="I129" s="30"/>
      <c r="J129" s="30"/>
      <c r="K129" s="30"/>
      <c r="L129" s="30"/>
      <c r="M129" s="30"/>
      <c r="N129" s="30"/>
      <c r="O129" s="164"/>
    </row>
    <row r="130" spans="1:15" ht="15.75" x14ac:dyDescent="0.25">
      <c r="A130" s="131" t="s">
        <v>233</v>
      </c>
      <c r="B130" s="75" t="s">
        <v>181</v>
      </c>
      <c r="C130" s="30" t="s">
        <v>43</v>
      </c>
      <c r="D130" s="30"/>
      <c r="E130" s="166"/>
      <c r="F130" s="166"/>
      <c r="G130" s="166"/>
      <c r="H130" s="166"/>
      <c r="I130" s="166"/>
      <c r="J130" s="166"/>
      <c r="K130" s="166"/>
      <c r="L130" s="166"/>
      <c r="M130" s="166"/>
      <c r="N130" s="167"/>
      <c r="O130" s="164"/>
    </row>
    <row r="131" spans="1:15" ht="15.75" x14ac:dyDescent="0.25">
      <c r="A131" s="131" t="s">
        <v>234</v>
      </c>
      <c r="B131" s="78" t="s">
        <v>115</v>
      </c>
      <c r="C131" s="30" t="s">
        <v>45</v>
      </c>
      <c r="D131" s="30"/>
      <c r="E131" s="168"/>
      <c r="F131" s="168"/>
      <c r="G131" s="168"/>
      <c r="H131" s="168"/>
      <c r="I131" s="168"/>
      <c r="J131" s="168"/>
      <c r="K131" s="168"/>
      <c r="L131" s="168"/>
      <c r="M131" s="168"/>
      <c r="N131" s="169"/>
      <c r="O131" s="164"/>
    </row>
    <row r="132" spans="1:15" x14ac:dyDescent="0.25">
      <c r="A132" s="228" t="s">
        <v>138</v>
      </c>
      <c r="B132" s="21" t="s">
        <v>50</v>
      </c>
      <c r="C132" s="22"/>
      <c r="D132" s="22"/>
      <c r="E132" s="34"/>
      <c r="F132" s="34"/>
      <c r="G132" s="34"/>
      <c r="H132" s="34"/>
      <c r="I132" s="34"/>
      <c r="J132" s="34"/>
      <c r="K132" s="34"/>
      <c r="L132" s="34"/>
      <c r="M132" s="34"/>
      <c r="N132" s="34"/>
      <c r="O132" s="35"/>
    </row>
    <row r="133" spans="1:15" ht="15.75" x14ac:dyDescent="0.25">
      <c r="A133" s="227" t="s">
        <v>599</v>
      </c>
      <c r="B133" s="78" t="s">
        <v>50</v>
      </c>
      <c r="C133" s="30" t="s">
        <v>43</v>
      </c>
      <c r="D133" s="367" t="s">
        <v>664</v>
      </c>
      <c r="E133" s="166"/>
      <c r="F133" s="166"/>
      <c r="G133" s="166"/>
      <c r="H133" s="166"/>
      <c r="I133" s="166"/>
      <c r="J133" s="166"/>
      <c r="K133" s="166"/>
      <c r="L133" s="166"/>
      <c r="M133" s="166"/>
      <c r="N133" s="166"/>
      <c r="O133" s="164"/>
    </row>
    <row r="134" spans="1:15" ht="15.75" x14ac:dyDescent="0.25">
      <c r="A134" s="246" t="s">
        <v>599</v>
      </c>
      <c r="B134" s="78" t="s">
        <v>50</v>
      </c>
      <c r="C134" s="30" t="s">
        <v>43</v>
      </c>
      <c r="D134" s="368"/>
      <c r="E134" s="245" t="str">
        <f>IFERROR(IF($D$133="Valor de referência (valor obtido automaticamente nas células a cinzento)",(('Input Técnico'!F57+'Input Técnico'!F75)-('Input Técnico'!E57+'Input Técnico'!E75))*(VLOOKUP(('Input Técnico'!$O$57+'Input Técnico'!$O$75),Lista!$A$171:$C$184,3,1))*(VLOOKUP(('Input Técnico'!$O$57+'Input Técnico'!$O$75),Lista!$A$171:$D$184,4,1))^(('Input Técnico'!$O$57+'Input Técnico'!$O$75)-(VLOOKUP(('Input Técnico'!$O$57+'Input Técnico'!$O$75),Lista!$A$171:$C$184,1,1)))," "),0)</f>
        <v xml:space="preserve"> </v>
      </c>
      <c r="F134" s="245" t="str">
        <f>IFERROR(IF($D$133="Valor de referência (valor obtido automaticamente nas células a cinzento)",(('Input Técnico'!G57-'Input Técnico'!F57)+('Input Técnico'!G75-'Input Técnico'!F75))*(VLOOKUP(('Input Técnico'!$O$57+'Input Técnico'!$O$75),Lista!$A$171:$C$184,3,1))*(VLOOKUP(('Input Técnico'!$O$57+'Input Técnico'!$O$75),Lista!$A$171:$D$184,4,1))^(('Input Técnico'!$O$57+'Input Técnico'!$O$75)-(VLOOKUP(('Input Técnico'!$O$57+'Input Técnico'!$O$75),Lista!$A$171:$C$184,1,1)))+(('Input Técnico'!F57+'Input Técnico'!F75)*(VLOOKUP(('Input Técnico'!$O$57+'Input Técnico'!$O$75),Lista!$A$171:$C$184,3,1))*(VLOOKUP(('Input Técnico'!$O$57+'Input Técnico'!$O$75),Lista!$A$171:$D$184,4,1))^(('Input Técnico'!$O$57+'Input Técnico'!$O$75)-(VLOOKUP(('Input Técnico'!$O$57+'Input Técnico'!$O$75),Lista!$A$171:$C$184,1,1)))*0.15)," "),0)</f>
        <v xml:space="preserve"> </v>
      </c>
      <c r="G134" s="245" t="str">
        <f>IFERROR(IF($D$133="Valor de referência (valor obtido automaticamente nas células a cinzento)",(('Input Técnico'!H57-'Input Técnico'!G57)+('Input Técnico'!H75-'Input Técnico'!G75))*(VLOOKUP(('Input Técnico'!$O$57+'Input Técnico'!$O$75),Lista!$A$171:$C$184,3,1))*(VLOOKUP(('Input Técnico'!$O$57+'Input Técnico'!$O$75),Lista!$A$171:$D$184,4,1))^(('Input Técnico'!$O$57+'Input Técnico'!$O$75)-(VLOOKUP(('Input Técnico'!$O$57+'Input Técnico'!$O$75),Lista!$A$171:$C$184,1,1)))+(('Input Técnico'!G57+'Input Técnico'!G75)*(VLOOKUP(('Input Técnico'!$O$57+'Input Técnico'!$O$75),Lista!$A$171:$C$184,3,1))*(VLOOKUP(('Input Técnico'!$O$57+'Input Técnico'!$O$75),Lista!$A$171:$D$184,4,1))^(('Input Técnico'!$O$57+'Input Técnico'!$O$75)-(VLOOKUP(('Input Técnico'!$O$57+'Input Técnico'!$O$75),Lista!$A$171:$C$184,1,1)))*0.15)," "),0)</f>
        <v xml:space="preserve"> </v>
      </c>
      <c r="H134" s="245" t="str">
        <f>IFERROR(IF($D$133="Valor de referência (valor obtido automaticamente nas células a cinzento)",(('Input Técnico'!I57-'Input Técnico'!H57)+('Input Técnico'!I75-'Input Técnico'!H75))*(VLOOKUP(('Input Técnico'!$O$57+'Input Técnico'!$O$75),Lista!$A$171:$C$184,3,1))*(VLOOKUP(('Input Técnico'!$O$57+'Input Técnico'!$O$75),Lista!$A$171:$D$184,4,1))^(('Input Técnico'!$O$57+'Input Técnico'!$O$75)-(VLOOKUP(('Input Técnico'!$O$57+'Input Técnico'!$O$75),Lista!$A$171:$C$184,1,1)))+(('Input Técnico'!H57+'Input Técnico'!H75)*(VLOOKUP(('Input Técnico'!$O$57+'Input Técnico'!$O$75),Lista!$A$171:$C$184,3,1))*(VLOOKUP(('Input Técnico'!$O$57+'Input Técnico'!$O$75),Lista!$A$171:$D$184,4,1))^(('Input Técnico'!$O$57+'Input Técnico'!$O$75)-(VLOOKUP(('Input Técnico'!$O$57+'Input Técnico'!$O$75),Lista!$A$171:$C$184,1,1)))*0.15)," "),0)</f>
        <v xml:space="preserve"> </v>
      </c>
      <c r="I134" s="245" t="str">
        <f>IFERROR(IF($D$133="Valor de referência (valor obtido automaticamente nas células a cinzento)",(('Input Técnico'!J57-'Input Técnico'!I57)+('Input Técnico'!J75-'Input Técnico'!I75))*(VLOOKUP(('Input Técnico'!$O$57+'Input Técnico'!$O$75),Lista!$A$171:$C$184,3,1))*(VLOOKUP(('Input Técnico'!$O$57+'Input Técnico'!$O$75),Lista!$A$171:$D$184,4,1))^(('Input Técnico'!$O$57+'Input Técnico'!$O$75)-(VLOOKUP(('Input Técnico'!$O$57+'Input Técnico'!$O$75),Lista!$A$171:$C$184,1,1)))+(('Input Técnico'!I57+'Input Técnico'!I75)*(VLOOKUP(('Input Técnico'!$O$57+'Input Técnico'!$O$75),Lista!$A$171:$C$184,3,1))*(VLOOKUP(('Input Técnico'!$O$57+'Input Técnico'!$O$75),Lista!$A$171:$D$184,4,1))^(('Input Técnico'!$O$57+'Input Técnico'!$O$75)-(VLOOKUP(('Input Técnico'!$O$57+'Input Técnico'!$O$75),Lista!$A$171:$C$184,1,1)))*0.15)," "),0)</f>
        <v xml:space="preserve"> </v>
      </c>
      <c r="J134" s="245" t="str">
        <f>IFERROR(IF($D$133="Valor de referência (valor obtido automaticamente nas células a cinzento)",(('Input Técnico'!K57-'Input Técnico'!J57)+('Input Técnico'!K75-'Input Técnico'!J75))*(VLOOKUP(('Input Técnico'!$O$57+'Input Técnico'!$O$75),Lista!$A$171:$C$184,3,1))*(VLOOKUP(('Input Técnico'!$O$57+'Input Técnico'!$O$75),Lista!$A$171:$D$184,4,1))^(('Input Técnico'!$O$57+'Input Técnico'!$O$75)-(VLOOKUP(('Input Técnico'!$O$57+'Input Técnico'!$O$75),Lista!$A$171:$C$184,1,1)))+(('Input Técnico'!J57+'Input Técnico'!J75)*(VLOOKUP(('Input Técnico'!$O$57+'Input Técnico'!$O$75),Lista!$A$171:$C$184,3,1))*(VLOOKUP(('Input Técnico'!$O$57+'Input Técnico'!$O$75),Lista!$A$171:$D$184,4,1))^(('Input Técnico'!$O$57+'Input Técnico'!$O$75)-(VLOOKUP(('Input Técnico'!$O$57+'Input Técnico'!$O$75),Lista!$A$171:$C$184,1,1)))*0.15)," "),0)</f>
        <v xml:space="preserve"> </v>
      </c>
      <c r="K134" s="245" t="str">
        <f>IFERROR(IF($D$133="Valor de referência (valor obtido automaticamente nas células a cinzento)",(('Input Técnico'!L57-'Input Técnico'!K57)+('Input Técnico'!L75-'Input Técnico'!K75))*(VLOOKUP(('Input Técnico'!$O$57+'Input Técnico'!$O$75),Lista!$A$171:$C$184,3,1))*(VLOOKUP(('Input Técnico'!$O$57+'Input Técnico'!$O$75),Lista!$A$171:$D$184,4,1))^(('Input Técnico'!$O$57+'Input Técnico'!$O$75)-(VLOOKUP(('Input Técnico'!$O$57+'Input Técnico'!$O$75),Lista!$A$171:$C$184,1,1)))+(('Input Técnico'!K57+'Input Técnico'!K75)*(VLOOKUP(('Input Técnico'!$O$57+'Input Técnico'!$O$75),Lista!$A$171:$C$184,3,1))*(VLOOKUP(('Input Técnico'!$O$57+'Input Técnico'!$O$75),Lista!$A$171:$D$184,4,1))^(('Input Técnico'!$O$57+'Input Técnico'!$O$75)-(VLOOKUP(('Input Técnico'!$O$57+'Input Técnico'!$O$75),Lista!$A$171:$C$184,1,1)))*0.15)," "),0)</f>
        <v xml:space="preserve"> </v>
      </c>
      <c r="L134" s="245" t="str">
        <f>IFERROR(IF($D$133="Valor de referência (valor obtido automaticamente nas células a cinzento)",(('Input Técnico'!M57-'Input Técnico'!L57)+('Input Técnico'!M75-'Input Técnico'!L75))*(VLOOKUP(('Input Técnico'!$O$57+'Input Técnico'!$O$75),Lista!$A$171:$C$184,3,1))*(VLOOKUP(('Input Técnico'!$O$57+'Input Técnico'!$O$75),Lista!$A$171:$D$184,4,1))^(('Input Técnico'!$O$57+'Input Técnico'!$O$75)-(VLOOKUP(('Input Técnico'!$O$57+'Input Técnico'!$O$75),Lista!$A$171:$C$184,1,1)))+(('Input Técnico'!L57+'Input Técnico'!L75)*(VLOOKUP(('Input Técnico'!$O$57+'Input Técnico'!$O$75),Lista!$A$171:$C$184,3,1))*(VLOOKUP(('Input Técnico'!$O$57+'Input Técnico'!$O$75),Lista!$A$171:$D$184,4,1))^(('Input Técnico'!$O$57+'Input Técnico'!$O$75)-(VLOOKUP(('Input Técnico'!$O$57+'Input Técnico'!$O$75),Lista!$A$171:$C$184,1,1)))*0.15)," "),0)</f>
        <v xml:space="preserve"> </v>
      </c>
      <c r="M134" s="245" t="str">
        <f>IFERROR(IF($D$133="Valor de referência (valor obtido automaticamente nas células a cinzento)",(('Input Técnico'!N57-'Input Técnico'!M57)+('Input Técnico'!N75-'Input Técnico'!M75))*(VLOOKUP(('Input Técnico'!$O$57+'Input Técnico'!$O$75),Lista!$A$171:$C$184,3,1))*(VLOOKUP(('Input Técnico'!$O$57+'Input Técnico'!$O$75),Lista!$A$171:$D$184,4,1))^(('Input Técnico'!$O$57+'Input Técnico'!$O$75)-(VLOOKUP(('Input Técnico'!$O$57+'Input Técnico'!$O$75),Lista!$A$171:$C$184,1,1)))+(('Input Técnico'!M57+'Input Técnico'!M75)*(VLOOKUP(('Input Técnico'!$O$57+'Input Técnico'!$O$75),Lista!$A$171:$C$184,3,1))*(VLOOKUP(('Input Técnico'!$O$57+'Input Técnico'!$O$75),Lista!$A$171:$D$184,4,1))^(('Input Técnico'!$O$57+'Input Técnico'!$O$75)-(VLOOKUP(('Input Técnico'!$O$57+'Input Técnico'!$O$75),Lista!$A$171:$C$184,1,1)))*0.15)," "),0)</f>
        <v xml:space="preserve"> </v>
      </c>
      <c r="N134" s="245" t="str">
        <f>IFERROR(IF($D$133="Valor de referência (valor obtido automaticamente nas células a cinzento)",(('Input Técnico'!O57-'Input Técnico'!N57)+('Input Técnico'!O75-'Input Técnico'!N75))*(VLOOKUP(('Input Técnico'!$O$57+'Input Técnico'!$O$75),Lista!$A$171:$C$184,3,1))*(VLOOKUP(('Input Técnico'!$O$57+'Input Técnico'!$O$75),Lista!$A$171:$D$184,4,1))^(('Input Técnico'!$O$57+'Input Técnico'!$O$75)-(VLOOKUP(('Input Técnico'!$O$57+'Input Técnico'!$O$75),Lista!$A$171:$C$184,1,1)))+(('Input Técnico'!N57+'Input Técnico'!N75)*(VLOOKUP(('Input Técnico'!$O$57+'Input Técnico'!$O$75),Lista!$A$171:$C$184,3,1))*(VLOOKUP(('Input Técnico'!$O$57+'Input Técnico'!$O$75),Lista!$A$171:$D$184,4,1))^(('Input Técnico'!$O$57+'Input Técnico'!$O$75)-(VLOOKUP(('Input Técnico'!$O$57+'Input Técnico'!$O$75),Lista!$A$171:$C$184,1,1)))*0.15)," "),0)</f>
        <v xml:space="preserve"> </v>
      </c>
      <c r="O134" s="164"/>
    </row>
    <row r="135" spans="1:15" x14ac:dyDescent="0.25">
      <c r="A135" s="228" t="s">
        <v>142</v>
      </c>
      <c r="B135" s="21" t="s">
        <v>151</v>
      </c>
      <c r="C135" s="22"/>
      <c r="D135" s="22"/>
      <c r="E135" s="34"/>
      <c r="F135" s="34"/>
      <c r="G135" s="34"/>
      <c r="H135" s="34"/>
      <c r="I135" s="34"/>
      <c r="J135" s="34"/>
      <c r="K135" s="34"/>
      <c r="L135" s="34"/>
      <c r="M135" s="34"/>
      <c r="N135" s="37"/>
      <c r="O135" s="35"/>
    </row>
    <row r="136" spans="1:15" x14ac:dyDescent="0.25">
      <c r="A136" s="33"/>
      <c r="B136" s="73" t="s">
        <v>503</v>
      </c>
      <c r="C136" s="36"/>
      <c r="D136" s="36"/>
      <c r="E136" s="36"/>
      <c r="F136" s="36"/>
      <c r="G136" s="36"/>
      <c r="H136" s="36"/>
      <c r="I136" s="36"/>
      <c r="J136" s="36"/>
      <c r="K136" s="36"/>
      <c r="L136" s="36"/>
      <c r="M136" s="36"/>
      <c r="N136" s="36"/>
      <c r="O136" s="164"/>
    </row>
    <row r="137" spans="1:15" x14ac:dyDescent="0.25">
      <c r="A137" s="131" t="s">
        <v>233</v>
      </c>
      <c r="B137" s="75" t="s">
        <v>181</v>
      </c>
      <c r="C137" s="36" t="s">
        <v>43</v>
      </c>
      <c r="D137" s="367" t="s">
        <v>124</v>
      </c>
      <c r="E137" s="166"/>
      <c r="F137" s="166"/>
      <c r="G137" s="166"/>
      <c r="H137" s="166"/>
      <c r="I137" s="166"/>
      <c r="J137" s="166"/>
      <c r="K137" s="166"/>
      <c r="L137" s="166"/>
      <c r="M137" s="166"/>
      <c r="N137" s="167"/>
      <c r="O137" s="164"/>
    </row>
    <row r="138" spans="1:15" x14ac:dyDescent="0.25">
      <c r="A138" s="131" t="s">
        <v>234</v>
      </c>
      <c r="B138" s="75" t="s">
        <v>115</v>
      </c>
      <c r="C138" s="36" t="s">
        <v>45</v>
      </c>
      <c r="D138" s="368"/>
      <c r="E138" s="168"/>
      <c r="F138" s="168"/>
      <c r="G138" s="168"/>
      <c r="H138" s="168"/>
      <c r="I138" s="168"/>
      <c r="J138" s="168"/>
      <c r="K138" s="168"/>
      <c r="L138" s="168"/>
      <c r="M138" s="168"/>
      <c r="N138" s="169"/>
      <c r="O138" s="164"/>
    </row>
    <row r="139" spans="1:15" x14ac:dyDescent="0.25">
      <c r="A139" s="33"/>
      <c r="B139" s="73" t="s">
        <v>504</v>
      </c>
      <c r="C139" s="36"/>
      <c r="D139" s="36"/>
      <c r="E139" s="36"/>
      <c r="F139" s="36"/>
      <c r="G139" s="36"/>
      <c r="H139" s="36"/>
      <c r="I139" s="36"/>
      <c r="J139" s="36"/>
      <c r="K139" s="36"/>
      <c r="L139" s="36"/>
      <c r="M139" s="36"/>
      <c r="N139" s="36"/>
      <c r="O139" s="164"/>
    </row>
    <row r="140" spans="1:15" x14ac:dyDescent="0.25">
      <c r="A140" s="131" t="s">
        <v>233</v>
      </c>
      <c r="B140" s="75" t="s">
        <v>181</v>
      </c>
      <c r="C140" s="36" t="s">
        <v>43</v>
      </c>
      <c r="D140" s="367" t="s">
        <v>124</v>
      </c>
      <c r="E140" s="166"/>
      <c r="F140" s="166"/>
      <c r="G140" s="166"/>
      <c r="H140" s="166"/>
      <c r="I140" s="166"/>
      <c r="J140" s="166"/>
      <c r="K140" s="166"/>
      <c r="L140" s="166"/>
      <c r="M140" s="166"/>
      <c r="N140" s="167"/>
      <c r="O140" s="164"/>
    </row>
    <row r="141" spans="1:15" x14ac:dyDescent="0.25">
      <c r="A141" s="131" t="s">
        <v>234</v>
      </c>
      <c r="B141" s="75" t="s">
        <v>115</v>
      </c>
      <c r="C141" s="36" t="s">
        <v>45</v>
      </c>
      <c r="D141" s="368"/>
      <c r="E141" s="168"/>
      <c r="F141" s="168"/>
      <c r="G141" s="168"/>
      <c r="H141" s="168"/>
      <c r="I141" s="168"/>
      <c r="J141" s="168"/>
      <c r="K141" s="168"/>
      <c r="L141" s="168"/>
      <c r="M141" s="168"/>
      <c r="N141" s="169"/>
      <c r="O141" s="164"/>
    </row>
    <row r="142" spans="1:15" x14ac:dyDescent="0.25">
      <c r="A142" s="33"/>
      <c r="B142" s="73" t="s">
        <v>505</v>
      </c>
      <c r="C142" s="36"/>
      <c r="D142" s="36"/>
      <c r="E142" s="36"/>
      <c r="F142" s="36"/>
      <c r="G142" s="36"/>
      <c r="H142" s="36"/>
      <c r="I142" s="36"/>
      <c r="J142" s="36"/>
      <c r="K142" s="36"/>
      <c r="L142" s="36"/>
      <c r="M142" s="36"/>
      <c r="N142" s="36"/>
      <c r="O142" s="164"/>
    </row>
    <row r="143" spans="1:15" x14ac:dyDescent="0.25">
      <c r="A143" s="131" t="s">
        <v>233</v>
      </c>
      <c r="B143" s="75" t="s">
        <v>181</v>
      </c>
      <c r="C143" s="36" t="s">
        <v>43</v>
      </c>
      <c r="D143" s="367" t="s">
        <v>124</v>
      </c>
      <c r="E143" s="166"/>
      <c r="F143" s="166"/>
      <c r="G143" s="166"/>
      <c r="H143" s="166"/>
      <c r="I143" s="166"/>
      <c r="J143" s="166"/>
      <c r="K143" s="166"/>
      <c r="L143" s="166"/>
      <c r="M143" s="166"/>
      <c r="N143" s="167"/>
      <c r="O143" s="164"/>
    </row>
    <row r="144" spans="1:15" x14ac:dyDescent="0.25">
      <c r="A144" s="131" t="s">
        <v>234</v>
      </c>
      <c r="B144" s="75" t="s">
        <v>115</v>
      </c>
      <c r="C144" s="36" t="s">
        <v>45</v>
      </c>
      <c r="D144" s="368"/>
      <c r="E144" s="168"/>
      <c r="F144" s="168"/>
      <c r="G144" s="168"/>
      <c r="H144" s="168"/>
      <c r="I144" s="168"/>
      <c r="J144" s="168"/>
      <c r="K144" s="168"/>
      <c r="L144" s="168"/>
      <c r="M144" s="168"/>
      <c r="N144" s="169"/>
      <c r="O144" s="164"/>
    </row>
    <row r="145" spans="1:15" x14ac:dyDescent="0.25">
      <c r="A145" s="33"/>
      <c r="B145" s="73" t="s">
        <v>506</v>
      </c>
      <c r="C145" s="36"/>
      <c r="D145" s="36"/>
      <c r="E145" s="36"/>
      <c r="F145" s="36"/>
      <c r="G145" s="36"/>
      <c r="H145" s="36"/>
      <c r="I145" s="36"/>
      <c r="J145" s="36"/>
      <c r="K145" s="36"/>
      <c r="L145" s="36"/>
      <c r="M145" s="36"/>
      <c r="N145" s="36"/>
      <c r="O145" s="164"/>
    </row>
    <row r="146" spans="1:15" x14ac:dyDescent="0.25">
      <c r="A146" s="131" t="s">
        <v>233</v>
      </c>
      <c r="B146" s="75" t="s">
        <v>181</v>
      </c>
      <c r="C146" s="36" t="s">
        <v>43</v>
      </c>
      <c r="D146" s="367" t="s">
        <v>124</v>
      </c>
      <c r="E146" s="166"/>
      <c r="F146" s="166"/>
      <c r="G146" s="166"/>
      <c r="H146" s="166"/>
      <c r="I146" s="166"/>
      <c r="J146" s="166"/>
      <c r="K146" s="166"/>
      <c r="L146" s="166"/>
      <c r="M146" s="166"/>
      <c r="N146" s="167"/>
      <c r="O146" s="164"/>
    </row>
    <row r="147" spans="1:15" x14ac:dyDescent="0.25">
      <c r="A147" s="131" t="s">
        <v>234</v>
      </c>
      <c r="B147" s="75" t="s">
        <v>115</v>
      </c>
      <c r="C147" s="36" t="s">
        <v>45</v>
      </c>
      <c r="D147" s="368"/>
      <c r="E147" s="168"/>
      <c r="F147" s="168"/>
      <c r="G147" s="168"/>
      <c r="H147" s="168"/>
      <c r="I147" s="168"/>
      <c r="J147" s="168"/>
      <c r="K147" s="168"/>
      <c r="L147" s="168"/>
      <c r="M147" s="168"/>
      <c r="N147" s="169"/>
      <c r="O147" s="164"/>
    </row>
    <row r="148" spans="1:15" x14ac:dyDescent="0.25">
      <c r="A148" s="33"/>
      <c r="B148" s="73" t="s">
        <v>507</v>
      </c>
      <c r="C148" s="36"/>
      <c r="D148" s="36"/>
      <c r="E148" s="36"/>
      <c r="F148" s="36"/>
      <c r="G148" s="36"/>
      <c r="H148" s="36"/>
      <c r="I148" s="36"/>
      <c r="J148" s="36"/>
      <c r="K148" s="36"/>
      <c r="L148" s="36"/>
      <c r="M148" s="36"/>
      <c r="N148" s="36"/>
      <c r="O148" s="164"/>
    </row>
    <row r="149" spans="1:15" x14ac:dyDescent="0.25">
      <c r="A149" s="131" t="s">
        <v>233</v>
      </c>
      <c r="B149" s="75" t="s">
        <v>181</v>
      </c>
      <c r="C149" s="36" t="s">
        <v>43</v>
      </c>
      <c r="D149" s="367" t="s">
        <v>124</v>
      </c>
      <c r="E149" s="166"/>
      <c r="F149" s="166"/>
      <c r="G149" s="166"/>
      <c r="H149" s="166"/>
      <c r="I149" s="166"/>
      <c r="J149" s="166"/>
      <c r="K149" s="166"/>
      <c r="L149" s="166"/>
      <c r="M149" s="166"/>
      <c r="N149" s="167"/>
      <c r="O149" s="164"/>
    </row>
    <row r="150" spans="1:15" x14ac:dyDescent="0.25">
      <c r="A150" s="131" t="s">
        <v>234</v>
      </c>
      <c r="B150" s="75" t="s">
        <v>115</v>
      </c>
      <c r="C150" s="36" t="s">
        <v>45</v>
      </c>
      <c r="D150" s="368"/>
      <c r="E150" s="168"/>
      <c r="F150" s="168"/>
      <c r="G150" s="168"/>
      <c r="H150" s="168"/>
      <c r="I150" s="168"/>
      <c r="J150" s="168"/>
      <c r="K150" s="168"/>
      <c r="L150" s="168"/>
      <c r="M150" s="168"/>
      <c r="N150" s="169"/>
      <c r="O150" s="164"/>
    </row>
    <row r="151" spans="1:15" x14ac:dyDescent="0.25">
      <c r="A151" s="33"/>
      <c r="B151" s="73" t="s">
        <v>508</v>
      </c>
      <c r="C151" s="36"/>
      <c r="D151" s="36"/>
      <c r="E151" s="36"/>
      <c r="F151" s="36"/>
      <c r="G151" s="36"/>
      <c r="H151" s="36"/>
      <c r="I151" s="36"/>
      <c r="J151" s="36"/>
      <c r="K151" s="36"/>
      <c r="L151" s="36"/>
      <c r="M151" s="36"/>
      <c r="N151" s="36"/>
      <c r="O151" s="164"/>
    </row>
    <row r="152" spans="1:15" x14ac:dyDescent="0.25">
      <c r="A152" s="131" t="s">
        <v>233</v>
      </c>
      <c r="B152" s="75" t="s">
        <v>181</v>
      </c>
      <c r="C152" s="36" t="s">
        <v>43</v>
      </c>
      <c r="D152" s="367" t="s">
        <v>124</v>
      </c>
      <c r="E152" s="166"/>
      <c r="F152" s="166"/>
      <c r="G152" s="166"/>
      <c r="H152" s="166"/>
      <c r="I152" s="166"/>
      <c r="J152" s="166"/>
      <c r="K152" s="166"/>
      <c r="L152" s="166"/>
      <c r="M152" s="166"/>
      <c r="N152" s="167"/>
      <c r="O152" s="164"/>
    </row>
    <row r="153" spans="1:15" x14ac:dyDescent="0.25">
      <c r="A153" s="131" t="s">
        <v>234</v>
      </c>
      <c r="B153" s="75" t="s">
        <v>115</v>
      </c>
      <c r="C153" s="36" t="s">
        <v>45</v>
      </c>
      <c r="D153" s="368"/>
      <c r="E153" s="168"/>
      <c r="F153" s="168"/>
      <c r="G153" s="168"/>
      <c r="H153" s="168"/>
      <c r="I153" s="168"/>
      <c r="J153" s="168"/>
      <c r="K153" s="168"/>
      <c r="L153" s="168"/>
      <c r="M153" s="168"/>
      <c r="N153" s="169"/>
      <c r="O153" s="164"/>
    </row>
    <row r="154" spans="1:15" x14ac:dyDescent="0.25">
      <c r="A154" s="33"/>
      <c r="B154" s="73" t="s">
        <v>509</v>
      </c>
      <c r="C154" s="36"/>
      <c r="D154" s="36"/>
      <c r="E154" s="36"/>
      <c r="F154" s="36"/>
      <c r="G154" s="36"/>
      <c r="H154" s="36"/>
      <c r="I154" s="36"/>
      <c r="J154" s="36"/>
      <c r="K154" s="36"/>
      <c r="L154" s="36"/>
      <c r="M154" s="36"/>
      <c r="N154" s="36"/>
      <c r="O154" s="164"/>
    </row>
    <row r="155" spans="1:15" x14ac:dyDescent="0.25">
      <c r="A155" s="131" t="s">
        <v>233</v>
      </c>
      <c r="B155" s="75" t="s">
        <v>181</v>
      </c>
      <c r="C155" s="36" t="s">
        <v>43</v>
      </c>
      <c r="D155" s="367" t="s">
        <v>124</v>
      </c>
      <c r="E155" s="166"/>
      <c r="F155" s="166"/>
      <c r="G155" s="166"/>
      <c r="H155" s="166"/>
      <c r="I155" s="166"/>
      <c r="J155" s="166"/>
      <c r="K155" s="166"/>
      <c r="L155" s="166"/>
      <c r="M155" s="166"/>
      <c r="N155" s="167"/>
      <c r="O155" s="164"/>
    </row>
    <row r="156" spans="1:15" x14ac:dyDescent="0.25">
      <c r="A156" s="131" t="s">
        <v>234</v>
      </c>
      <c r="B156" s="75" t="s">
        <v>115</v>
      </c>
      <c r="C156" s="36" t="s">
        <v>45</v>
      </c>
      <c r="D156" s="368"/>
      <c r="E156" s="168"/>
      <c r="F156" s="168"/>
      <c r="G156" s="168"/>
      <c r="H156" s="168"/>
      <c r="I156" s="168"/>
      <c r="J156" s="168"/>
      <c r="K156" s="168"/>
      <c r="L156" s="168"/>
      <c r="M156" s="168"/>
      <c r="N156" s="169"/>
      <c r="O156" s="164"/>
    </row>
    <row r="157" spans="1:15" x14ac:dyDescent="0.25">
      <c r="A157" s="33"/>
      <c r="B157" s="73" t="s">
        <v>510</v>
      </c>
      <c r="C157" s="36"/>
      <c r="D157" s="36"/>
      <c r="E157" s="36"/>
      <c r="F157" s="36"/>
      <c r="G157" s="36"/>
      <c r="H157" s="36"/>
      <c r="I157" s="36"/>
      <c r="J157" s="36"/>
      <c r="K157" s="36"/>
      <c r="L157" s="36"/>
      <c r="M157" s="36"/>
      <c r="N157" s="36"/>
      <c r="O157" s="164"/>
    </row>
    <row r="158" spans="1:15" x14ac:dyDescent="0.25">
      <c r="A158" s="131" t="s">
        <v>233</v>
      </c>
      <c r="B158" s="75" t="s">
        <v>181</v>
      </c>
      <c r="C158" s="36" t="s">
        <v>43</v>
      </c>
      <c r="D158" s="367" t="s">
        <v>124</v>
      </c>
      <c r="E158" s="166"/>
      <c r="F158" s="166"/>
      <c r="G158" s="166"/>
      <c r="H158" s="166"/>
      <c r="I158" s="166"/>
      <c r="J158" s="166"/>
      <c r="K158" s="166"/>
      <c r="L158" s="166"/>
      <c r="M158" s="166"/>
      <c r="N158" s="167"/>
      <c r="O158" s="164"/>
    </row>
    <row r="159" spans="1:15" x14ac:dyDescent="0.25">
      <c r="A159" s="131" t="s">
        <v>234</v>
      </c>
      <c r="B159" s="75" t="s">
        <v>115</v>
      </c>
      <c r="C159" s="36" t="s">
        <v>45</v>
      </c>
      <c r="D159" s="368"/>
      <c r="E159" s="168"/>
      <c r="F159" s="168"/>
      <c r="G159" s="168"/>
      <c r="H159" s="168"/>
      <c r="I159" s="168"/>
      <c r="J159" s="168"/>
      <c r="K159" s="168"/>
      <c r="L159" s="168"/>
      <c r="M159" s="168"/>
      <c r="N159" s="169"/>
      <c r="O159" s="164"/>
    </row>
    <row r="160" spans="1:15" x14ac:dyDescent="0.25">
      <c r="A160" s="33"/>
      <c r="B160" s="73" t="s">
        <v>514</v>
      </c>
      <c r="C160" s="36"/>
      <c r="D160" s="36"/>
      <c r="E160" s="36"/>
      <c r="F160" s="36"/>
      <c r="G160" s="36"/>
      <c r="H160" s="36"/>
      <c r="I160" s="36"/>
      <c r="J160" s="36"/>
      <c r="K160" s="36"/>
      <c r="L160" s="36"/>
      <c r="M160" s="36"/>
      <c r="N160" s="36"/>
      <c r="O160" s="164"/>
    </row>
    <row r="161" spans="1:15" x14ac:dyDescent="0.25">
      <c r="A161" s="131" t="s">
        <v>233</v>
      </c>
      <c r="B161" s="75" t="s">
        <v>181</v>
      </c>
      <c r="C161" s="36" t="s">
        <v>43</v>
      </c>
      <c r="D161" s="36"/>
      <c r="E161" s="166"/>
      <c r="F161" s="166"/>
      <c r="G161" s="166"/>
      <c r="H161" s="166"/>
      <c r="I161" s="166"/>
      <c r="J161" s="166"/>
      <c r="K161" s="166"/>
      <c r="L161" s="166"/>
      <c r="M161" s="166"/>
      <c r="N161" s="167"/>
      <c r="O161" s="164"/>
    </row>
    <row r="162" spans="1:15" x14ac:dyDescent="0.25">
      <c r="A162" s="131" t="s">
        <v>234</v>
      </c>
      <c r="B162" s="75" t="s">
        <v>115</v>
      </c>
      <c r="C162" s="36" t="s">
        <v>45</v>
      </c>
      <c r="D162" s="36"/>
      <c r="E162" s="168"/>
      <c r="F162" s="168"/>
      <c r="G162" s="168"/>
      <c r="H162" s="168"/>
      <c r="I162" s="168"/>
      <c r="J162" s="168"/>
      <c r="K162" s="168"/>
      <c r="L162" s="168"/>
      <c r="M162" s="168"/>
      <c r="N162" s="169"/>
      <c r="O162" s="164"/>
    </row>
    <row r="163" spans="1:15" x14ac:dyDescent="0.25">
      <c r="A163" s="33"/>
      <c r="B163" s="73" t="s">
        <v>515</v>
      </c>
      <c r="C163" s="36"/>
      <c r="D163" s="36"/>
      <c r="E163" s="36"/>
      <c r="F163" s="36"/>
      <c r="G163" s="36"/>
      <c r="H163" s="36"/>
      <c r="I163" s="36"/>
      <c r="J163" s="36"/>
      <c r="K163" s="36"/>
      <c r="L163" s="36"/>
      <c r="M163" s="36"/>
      <c r="N163" s="36"/>
      <c r="O163" s="164"/>
    </row>
    <row r="164" spans="1:15" x14ac:dyDescent="0.25">
      <c r="A164" s="131" t="s">
        <v>233</v>
      </c>
      <c r="B164" s="75" t="s">
        <v>181</v>
      </c>
      <c r="C164" s="36" t="s">
        <v>43</v>
      </c>
      <c r="D164" s="36"/>
      <c r="E164" s="166"/>
      <c r="F164" s="166"/>
      <c r="G164" s="166"/>
      <c r="H164" s="166"/>
      <c r="I164" s="166"/>
      <c r="J164" s="166"/>
      <c r="K164" s="166"/>
      <c r="L164" s="166"/>
      <c r="M164" s="166"/>
      <c r="N164" s="167"/>
      <c r="O164" s="164"/>
    </row>
    <row r="165" spans="1:15" x14ac:dyDescent="0.25">
      <c r="A165" s="131" t="s">
        <v>234</v>
      </c>
      <c r="B165" s="75" t="s">
        <v>115</v>
      </c>
      <c r="C165" s="36" t="s">
        <v>45</v>
      </c>
      <c r="D165" s="36"/>
      <c r="E165" s="168"/>
      <c r="F165" s="168"/>
      <c r="G165" s="168"/>
      <c r="H165" s="168"/>
      <c r="I165" s="168"/>
      <c r="J165" s="168"/>
      <c r="K165" s="168"/>
      <c r="L165" s="168"/>
      <c r="M165" s="168"/>
      <c r="N165" s="169"/>
      <c r="O165" s="164"/>
    </row>
    <row r="166" spans="1:15" x14ac:dyDescent="0.25">
      <c r="A166" s="33"/>
      <c r="B166" s="73" t="s">
        <v>516</v>
      </c>
      <c r="C166" s="36"/>
      <c r="D166" s="36"/>
      <c r="E166" s="36"/>
      <c r="F166" s="36"/>
      <c r="G166" s="36"/>
      <c r="H166" s="36"/>
      <c r="I166" s="36"/>
      <c r="J166" s="36"/>
      <c r="K166" s="36"/>
      <c r="L166" s="36"/>
      <c r="M166" s="36"/>
      <c r="N166" s="36"/>
      <c r="O166" s="164"/>
    </row>
    <row r="167" spans="1:15" x14ac:dyDescent="0.25">
      <c r="A167" s="131" t="s">
        <v>233</v>
      </c>
      <c r="B167" s="75" t="s">
        <v>181</v>
      </c>
      <c r="C167" s="36" t="s">
        <v>43</v>
      </c>
      <c r="D167" s="36"/>
      <c r="E167" s="166"/>
      <c r="F167" s="166"/>
      <c r="G167" s="166"/>
      <c r="H167" s="166"/>
      <c r="I167" s="166"/>
      <c r="J167" s="166"/>
      <c r="K167" s="166"/>
      <c r="L167" s="166"/>
      <c r="M167" s="166"/>
      <c r="N167" s="167"/>
      <c r="O167" s="164"/>
    </row>
    <row r="168" spans="1:15" x14ac:dyDescent="0.25">
      <c r="A168" s="131" t="s">
        <v>234</v>
      </c>
      <c r="B168" s="75" t="s">
        <v>115</v>
      </c>
      <c r="C168" s="36" t="s">
        <v>45</v>
      </c>
      <c r="D168" s="36"/>
      <c r="E168" s="168"/>
      <c r="F168" s="168"/>
      <c r="G168" s="168"/>
      <c r="H168" s="168"/>
      <c r="I168" s="168"/>
      <c r="J168" s="168"/>
      <c r="K168" s="168"/>
      <c r="L168" s="168"/>
      <c r="M168" s="168"/>
      <c r="N168" s="169"/>
      <c r="O168" s="164"/>
    </row>
    <row r="169" spans="1:15" x14ac:dyDescent="0.25">
      <c r="A169" s="228" t="s">
        <v>143</v>
      </c>
      <c r="B169" s="21" t="s">
        <v>51</v>
      </c>
      <c r="C169" s="22"/>
      <c r="D169" s="22"/>
      <c r="E169" s="34"/>
      <c r="F169" s="34"/>
      <c r="G169" s="34"/>
      <c r="H169" s="34"/>
      <c r="I169" s="34"/>
      <c r="J169" s="34"/>
      <c r="K169" s="34"/>
      <c r="L169" s="34"/>
      <c r="M169" s="34"/>
      <c r="N169" s="34"/>
      <c r="O169" s="35"/>
    </row>
    <row r="170" spans="1:15" x14ac:dyDescent="0.25">
      <c r="A170" s="33"/>
      <c r="B170" s="73" t="s">
        <v>22</v>
      </c>
      <c r="C170" s="36"/>
      <c r="D170" s="36"/>
      <c r="E170" s="36"/>
      <c r="F170" s="36"/>
      <c r="G170" s="36"/>
      <c r="H170" s="36"/>
      <c r="I170" s="36"/>
      <c r="J170" s="36"/>
      <c r="K170" s="36"/>
      <c r="L170" s="36"/>
      <c r="M170" s="36"/>
      <c r="N170" s="36"/>
      <c r="O170" s="164"/>
    </row>
    <row r="171" spans="1:15" x14ac:dyDescent="0.25">
      <c r="A171" s="131" t="s">
        <v>233</v>
      </c>
      <c r="B171" s="75" t="s">
        <v>181</v>
      </c>
      <c r="C171" s="36" t="s">
        <v>43</v>
      </c>
      <c r="D171" s="367" t="s">
        <v>517</v>
      </c>
      <c r="E171" s="292"/>
      <c r="F171" s="292"/>
      <c r="G171" s="292"/>
      <c r="H171" s="292"/>
      <c r="I171" s="292"/>
      <c r="J171" s="292"/>
      <c r="K171" s="292"/>
      <c r="L171" s="292"/>
      <c r="M171" s="292"/>
      <c r="N171" s="292"/>
      <c r="O171" s="164"/>
    </row>
    <row r="172" spans="1:15" x14ac:dyDescent="0.25">
      <c r="A172" s="131" t="s">
        <v>234</v>
      </c>
      <c r="B172" s="75" t="s">
        <v>115</v>
      </c>
      <c r="C172" s="36" t="str">
        <f>IF(D171="Gasóleo","l",IF(D171="Gasolina","l",IF(D171="Gás natural","m3"," ")))</f>
        <v xml:space="preserve"> </v>
      </c>
      <c r="D172" s="368"/>
      <c r="E172" s="281"/>
      <c r="F172" s="281"/>
      <c r="G172" s="281"/>
      <c r="H172" s="281"/>
      <c r="I172" s="281"/>
      <c r="J172" s="281"/>
      <c r="K172" s="281"/>
      <c r="L172" s="281"/>
      <c r="M172" s="281"/>
      <c r="N172" s="281"/>
      <c r="O172" s="164"/>
    </row>
    <row r="173" spans="1:15" x14ac:dyDescent="0.25">
      <c r="A173" s="33"/>
      <c r="B173" s="73" t="s">
        <v>24</v>
      </c>
      <c r="C173" s="36"/>
      <c r="D173" s="36"/>
      <c r="E173" s="189"/>
      <c r="F173" s="36"/>
      <c r="G173" s="36"/>
      <c r="H173" s="36"/>
      <c r="I173" s="36"/>
      <c r="J173" s="36"/>
      <c r="K173" s="36"/>
      <c r="L173" s="36"/>
      <c r="M173" s="36"/>
      <c r="N173" s="36"/>
      <c r="O173" s="164"/>
    </row>
    <row r="174" spans="1:15" x14ac:dyDescent="0.25">
      <c r="A174" s="131" t="s">
        <v>233</v>
      </c>
      <c r="B174" s="75" t="s">
        <v>181</v>
      </c>
      <c r="C174" s="36" t="s">
        <v>43</v>
      </c>
      <c r="D174" s="367" t="s">
        <v>517</v>
      </c>
      <c r="E174" s="292"/>
      <c r="F174" s="292"/>
      <c r="G174" s="292"/>
      <c r="H174" s="292"/>
      <c r="I174" s="292"/>
      <c r="J174" s="292"/>
      <c r="K174" s="292"/>
      <c r="L174" s="292"/>
      <c r="M174" s="292"/>
      <c r="N174" s="292"/>
      <c r="O174" s="164"/>
    </row>
    <row r="175" spans="1:15" x14ac:dyDescent="0.25">
      <c r="A175" s="131" t="s">
        <v>234</v>
      </c>
      <c r="B175" s="75" t="s">
        <v>115</v>
      </c>
      <c r="C175" s="36" t="str">
        <f>IF(D174="Gasóleo","l",IF(D174="Gasolina","l",IF(D174="Gás natural","m3"," ")))</f>
        <v xml:space="preserve"> </v>
      </c>
      <c r="D175" s="368"/>
      <c r="E175" s="281"/>
      <c r="F175" s="281"/>
      <c r="G175" s="281"/>
      <c r="H175" s="281"/>
      <c r="I175" s="281"/>
      <c r="J175" s="281"/>
      <c r="K175" s="281"/>
      <c r="L175" s="281"/>
      <c r="M175" s="281"/>
      <c r="N175" s="281"/>
      <c r="O175" s="164"/>
    </row>
    <row r="176" spans="1:15" x14ac:dyDescent="0.25">
      <c r="A176" s="33"/>
      <c r="B176" s="73" t="s">
        <v>25</v>
      </c>
      <c r="C176" s="36"/>
      <c r="D176" s="36"/>
      <c r="E176" s="36"/>
      <c r="F176" s="36"/>
      <c r="G176" s="36"/>
      <c r="H176" s="36"/>
      <c r="I176" s="36"/>
      <c r="J176" s="36"/>
      <c r="K176" s="36"/>
      <c r="L176" s="36"/>
      <c r="M176" s="36"/>
      <c r="N176" s="36"/>
      <c r="O176" s="164"/>
    </row>
    <row r="177" spans="1:15" x14ac:dyDescent="0.25">
      <c r="A177" s="131" t="s">
        <v>233</v>
      </c>
      <c r="B177" s="75" t="s">
        <v>181</v>
      </c>
      <c r="C177" s="36" t="s">
        <v>43</v>
      </c>
      <c r="D177" s="367" t="s">
        <v>517</v>
      </c>
      <c r="E177" s="292"/>
      <c r="F177" s="292"/>
      <c r="G177" s="292"/>
      <c r="H177" s="292"/>
      <c r="I177" s="292"/>
      <c r="J177" s="292"/>
      <c r="K177" s="292"/>
      <c r="L177" s="292"/>
      <c r="M177" s="292"/>
      <c r="N177" s="292"/>
      <c r="O177" s="164"/>
    </row>
    <row r="178" spans="1:15" x14ac:dyDescent="0.25">
      <c r="A178" s="131" t="s">
        <v>234</v>
      </c>
      <c r="B178" s="75" t="s">
        <v>115</v>
      </c>
      <c r="C178" s="36" t="str">
        <f>IF(D177="Gasóleo","l",IF(D177="Gasolina","l",IF(D177="Gás natural","m3"," ")))</f>
        <v xml:space="preserve"> </v>
      </c>
      <c r="D178" s="368"/>
      <c r="E178" s="281"/>
      <c r="F178" s="281"/>
      <c r="G178" s="281"/>
      <c r="H178" s="281"/>
      <c r="I178" s="281"/>
      <c r="J178" s="281"/>
      <c r="K178" s="281"/>
      <c r="L178" s="281"/>
      <c r="M178" s="281"/>
      <c r="N178" s="281"/>
      <c r="O178" s="164"/>
    </row>
    <row r="179" spans="1:15" x14ac:dyDescent="0.25">
      <c r="A179" s="33"/>
      <c r="B179" s="73" t="s">
        <v>26</v>
      </c>
      <c r="C179" s="36"/>
      <c r="D179" s="36"/>
      <c r="E179" s="36"/>
      <c r="F179" s="36"/>
      <c r="G179" s="36"/>
      <c r="H179" s="36"/>
      <c r="I179" s="36"/>
      <c r="J179" s="36"/>
      <c r="K179" s="36"/>
      <c r="L179" s="36"/>
      <c r="M179" s="36"/>
      <c r="N179" s="36"/>
      <c r="O179" s="164"/>
    </row>
    <row r="180" spans="1:15" x14ac:dyDescent="0.25">
      <c r="A180" s="131" t="s">
        <v>233</v>
      </c>
      <c r="B180" s="75" t="s">
        <v>181</v>
      </c>
      <c r="C180" s="36" t="s">
        <v>43</v>
      </c>
      <c r="D180" s="367" t="s">
        <v>517</v>
      </c>
      <c r="E180" s="292"/>
      <c r="F180" s="292"/>
      <c r="G180" s="292"/>
      <c r="H180" s="292"/>
      <c r="I180" s="292"/>
      <c r="J180" s="292"/>
      <c r="K180" s="292"/>
      <c r="L180" s="292"/>
      <c r="M180" s="292"/>
      <c r="N180" s="292"/>
      <c r="O180" s="164"/>
    </row>
    <row r="181" spans="1:15" x14ac:dyDescent="0.25">
      <c r="A181" s="131" t="s">
        <v>234</v>
      </c>
      <c r="B181" s="75" t="s">
        <v>115</v>
      </c>
      <c r="C181" s="36" t="str">
        <f>IF(D180="Gasóleo","l",IF(D180="Gasolina","l",IF(D180="Gás natural","m3"," ")))</f>
        <v xml:space="preserve"> </v>
      </c>
      <c r="D181" s="368"/>
      <c r="E181" s="281"/>
      <c r="F181" s="281"/>
      <c r="G181" s="281"/>
      <c r="H181" s="281"/>
      <c r="I181" s="281"/>
      <c r="J181" s="281"/>
      <c r="K181" s="281"/>
      <c r="L181" s="281"/>
      <c r="M181" s="281"/>
      <c r="N181" s="281"/>
      <c r="O181" s="164"/>
    </row>
    <row r="182" spans="1:15" x14ac:dyDescent="0.25">
      <c r="A182" s="33"/>
      <c r="B182" s="73" t="s">
        <v>27</v>
      </c>
      <c r="C182" s="36"/>
      <c r="D182" s="36"/>
      <c r="E182" s="36"/>
      <c r="F182" s="36"/>
      <c r="G182" s="36"/>
      <c r="H182" s="36"/>
      <c r="I182" s="36"/>
      <c r="J182" s="36"/>
      <c r="K182" s="36"/>
      <c r="L182" s="36"/>
      <c r="M182" s="36"/>
      <c r="N182" s="36"/>
      <c r="O182" s="164"/>
    </row>
    <row r="183" spans="1:15" x14ac:dyDescent="0.25">
      <c r="A183" s="131" t="s">
        <v>233</v>
      </c>
      <c r="B183" s="75" t="s">
        <v>181</v>
      </c>
      <c r="C183" s="36" t="s">
        <v>43</v>
      </c>
      <c r="D183" s="367" t="s">
        <v>517</v>
      </c>
      <c r="E183" s="292"/>
      <c r="F183" s="292"/>
      <c r="G183" s="292"/>
      <c r="H183" s="292"/>
      <c r="I183" s="292"/>
      <c r="J183" s="292"/>
      <c r="K183" s="292"/>
      <c r="L183" s="292"/>
      <c r="M183" s="292"/>
      <c r="N183" s="292"/>
      <c r="O183" s="164"/>
    </row>
    <row r="184" spans="1:15" x14ac:dyDescent="0.25">
      <c r="A184" s="131" t="s">
        <v>234</v>
      </c>
      <c r="B184" s="75" t="s">
        <v>115</v>
      </c>
      <c r="C184" s="36" t="str">
        <f>IF(D183="Gasóleo","l",IF(D183="Gasolina","l",IF(D183="Gás natural","m3"," ")))</f>
        <v xml:space="preserve"> </v>
      </c>
      <c r="D184" s="368"/>
      <c r="E184" s="281"/>
      <c r="F184" s="281"/>
      <c r="G184" s="281"/>
      <c r="H184" s="281"/>
      <c r="I184" s="281"/>
      <c r="J184" s="281"/>
      <c r="K184" s="281"/>
      <c r="L184" s="281"/>
      <c r="M184" s="281"/>
      <c r="N184" s="281"/>
      <c r="O184" s="164"/>
    </row>
    <row r="185" spans="1:15" x14ac:dyDescent="0.25">
      <c r="A185" s="33"/>
      <c r="B185" s="73" t="s">
        <v>450</v>
      </c>
      <c r="C185" s="36"/>
      <c r="D185" s="36"/>
      <c r="E185" s="36"/>
      <c r="F185" s="36"/>
      <c r="G185" s="36"/>
      <c r="H185" s="36"/>
      <c r="I185" s="36"/>
      <c r="J185" s="36"/>
      <c r="K185" s="36"/>
      <c r="L185" s="36"/>
      <c r="M185" s="36"/>
      <c r="N185" s="36"/>
      <c r="O185" s="164"/>
    </row>
    <row r="186" spans="1:15" x14ac:dyDescent="0.25">
      <c r="A186" s="131" t="s">
        <v>233</v>
      </c>
      <c r="B186" s="75" t="s">
        <v>181</v>
      </c>
      <c r="C186" s="36" t="s">
        <v>43</v>
      </c>
      <c r="D186" s="367" t="s">
        <v>517</v>
      </c>
      <c r="E186" s="292"/>
      <c r="F186" s="292"/>
      <c r="G186" s="292"/>
      <c r="H186" s="292"/>
      <c r="I186" s="292"/>
      <c r="J186" s="292"/>
      <c r="K186" s="292"/>
      <c r="L186" s="292"/>
      <c r="M186" s="292"/>
      <c r="N186" s="292"/>
      <c r="O186" s="164"/>
    </row>
    <row r="187" spans="1:15" x14ac:dyDescent="0.25">
      <c r="A187" s="131" t="s">
        <v>234</v>
      </c>
      <c r="B187" s="75" t="s">
        <v>115</v>
      </c>
      <c r="C187" s="36" t="str">
        <f>IF(D186="Gasóleo","l",IF(D186="Gasolina","l",IF(D186="Gás natural","m3"," ")))</f>
        <v xml:space="preserve"> </v>
      </c>
      <c r="D187" s="368"/>
      <c r="E187" s="281"/>
      <c r="F187" s="281"/>
      <c r="G187" s="281"/>
      <c r="H187" s="281"/>
      <c r="I187" s="281"/>
      <c r="J187" s="281"/>
      <c r="K187" s="281"/>
      <c r="L187" s="281"/>
      <c r="M187" s="281"/>
      <c r="N187" s="281"/>
      <c r="O187" s="164"/>
    </row>
    <row r="188" spans="1:15" x14ac:dyDescent="0.25">
      <c r="A188" s="33"/>
      <c r="B188" s="73" t="s">
        <v>451</v>
      </c>
      <c r="C188" s="36"/>
      <c r="D188" s="36"/>
      <c r="E188" s="36"/>
      <c r="F188" s="36"/>
      <c r="G188" s="36"/>
      <c r="H188" s="36"/>
      <c r="I188" s="36"/>
      <c r="J188" s="36"/>
      <c r="K188" s="36"/>
      <c r="L188" s="36"/>
      <c r="M188" s="36"/>
      <c r="N188" s="36"/>
      <c r="O188" s="164"/>
    </row>
    <row r="189" spans="1:15" x14ac:dyDescent="0.25">
      <c r="A189" s="131" t="s">
        <v>233</v>
      </c>
      <c r="B189" s="75" t="s">
        <v>181</v>
      </c>
      <c r="C189" s="36" t="s">
        <v>43</v>
      </c>
      <c r="D189" s="367" t="s">
        <v>517</v>
      </c>
      <c r="E189" s="292"/>
      <c r="F189" s="292"/>
      <c r="G189" s="292"/>
      <c r="H189" s="292"/>
      <c r="I189" s="292"/>
      <c r="J189" s="292"/>
      <c r="K189" s="292"/>
      <c r="L189" s="292"/>
      <c r="M189" s="292"/>
      <c r="N189" s="292"/>
      <c r="O189" s="164"/>
    </row>
    <row r="190" spans="1:15" x14ac:dyDescent="0.25">
      <c r="A190" s="131" t="s">
        <v>234</v>
      </c>
      <c r="B190" s="75" t="s">
        <v>115</v>
      </c>
      <c r="C190" s="36" t="str">
        <f>IF(D189="Gasóleo","l",IF(D189="Gasolina","l",IF(D189="Gás natural","m3"," ")))</f>
        <v xml:space="preserve"> </v>
      </c>
      <c r="D190" s="368"/>
      <c r="E190" s="281"/>
      <c r="F190" s="281"/>
      <c r="G190" s="281"/>
      <c r="H190" s="281"/>
      <c r="I190" s="281"/>
      <c r="J190" s="281"/>
      <c r="K190" s="281"/>
      <c r="L190" s="281"/>
      <c r="M190" s="281"/>
      <c r="N190" s="281"/>
      <c r="O190" s="164"/>
    </row>
    <row r="191" spans="1:15" x14ac:dyDescent="0.25">
      <c r="A191" s="33"/>
      <c r="B191" s="73" t="s">
        <v>500</v>
      </c>
      <c r="C191" s="36"/>
      <c r="D191" s="36"/>
      <c r="E191" s="36"/>
      <c r="F191" s="36"/>
      <c r="G191" s="36"/>
      <c r="H191" s="36"/>
      <c r="I191" s="36"/>
      <c r="J191" s="36"/>
      <c r="K191" s="36"/>
      <c r="L191" s="36"/>
      <c r="M191" s="36"/>
      <c r="N191" s="36"/>
      <c r="O191" s="164"/>
    </row>
    <row r="192" spans="1:15" x14ac:dyDescent="0.25">
      <c r="A192" s="131" t="s">
        <v>233</v>
      </c>
      <c r="B192" s="75" t="s">
        <v>181</v>
      </c>
      <c r="C192" s="36" t="s">
        <v>43</v>
      </c>
      <c r="D192" s="367" t="s">
        <v>517</v>
      </c>
      <c r="E192" s="292"/>
      <c r="F192" s="292"/>
      <c r="G192" s="292"/>
      <c r="H192" s="292"/>
      <c r="I192" s="292"/>
      <c r="J192" s="292"/>
      <c r="K192" s="292"/>
      <c r="L192" s="292"/>
      <c r="M192" s="292"/>
      <c r="N192" s="292"/>
      <c r="O192" s="164"/>
    </row>
    <row r="193" spans="1:15" x14ac:dyDescent="0.25">
      <c r="A193" s="131" t="s">
        <v>234</v>
      </c>
      <c r="B193" s="75" t="s">
        <v>115</v>
      </c>
      <c r="C193" s="36" t="str">
        <f>IF(D192="Gasóleo","l",IF(D192="Gasolina","l",IF(D192="Gás natural","m3"," ")))</f>
        <v xml:space="preserve"> </v>
      </c>
      <c r="D193" s="368"/>
      <c r="E193" s="281"/>
      <c r="F193" s="281"/>
      <c r="G193" s="281"/>
      <c r="H193" s="281"/>
      <c r="I193" s="281"/>
      <c r="J193" s="281"/>
      <c r="K193" s="281"/>
      <c r="L193" s="281"/>
      <c r="M193" s="281"/>
      <c r="N193" s="281"/>
      <c r="O193" s="164"/>
    </row>
    <row r="194" spans="1:15" x14ac:dyDescent="0.25">
      <c r="A194" s="33"/>
      <c r="B194" s="73" t="s">
        <v>511</v>
      </c>
      <c r="C194" s="36"/>
      <c r="D194" s="36"/>
      <c r="E194" s="36"/>
      <c r="F194" s="36"/>
      <c r="G194" s="36"/>
      <c r="H194" s="36"/>
      <c r="I194" s="36"/>
      <c r="J194" s="36"/>
      <c r="K194" s="36"/>
      <c r="L194" s="36"/>
      <c r="M194" s="36"/>
      <c r="N194" s="36"/>
      <c r="O194" s="164"/>
    </row>
    <row r="195" spans="1:15" x14ac:dyDescent="0.25">
      <c r="A195" s="131" t="s">
        <v>233</v>
      </c>
      <c r="B195" s="75" t="s">
        <v>181</v>
      </c>
      <c r="C195" s="36" t="s">
        <v>43</v>
      </c>
      <c r="D195" s="367" t="s">
        <v>517</v>
      </c>
      <c r="E195" s="292"/>
      <c r="F195" s="292"/>
      <c r="G195" s="292"/>
      <c r="H195" s="292"/>
      <c r="I195" s="292"/>
      <c r="J195" s="292"/>
      <c r="K195" s="292"/>
      <c r="L195" s="292"/>
      <c r="M195" s="292"/>
      <c r="N195" s="292"/>
      <c r="O195" s="164"/>
    </row>
    <row r="196" spans="1:15" x14ac:dyDescent="0.25">
      <c r="A196" s="131" t="s">
        <v>234</v>
      </c>
      <c r="B196" s="75" t="s">
        <v>115</v>
      </c>
      <c r="C196" s="36" t="str">
        <f>IF(D195="Gasóleo","l",IF(D195="Gasolina","l",IF(D195="Gás natural","m3"," ")))</f>
        <v xml:space="preserve"> </v>
      </c>
      <c r="D196" s="368"/>
      <c r="E196" s="281"/>
      <c r="F196" s="281"/>
      <c r="G196" s="281"/>
      <c r="H196" s="281"/>
      <c r="I196" s="281"/>
      <c r="J196" s="281"/>
      <c r="K196" s="281"/>
      <c r="L196" s="281"/>
      <c r="M196" s="281"/>
      <c r="N196" s="281"/>
      <c r="O196" s="164"/>
    </row>
    <row r="197" spans="1:15" x14ac:dyDescent="0.25">
      <c r="A197" s="33"/>
      <c r="B197" s="73" t="s">
        <v>512</v>
      </c>
      <c r="C197" s="36"/>
      <c r="D197" s="36"/>
      <c r="E197" s="36"/>
      <c r="F197" s="36"/>
      <c r="G197" s="36"/>
      <c r="H197" s="36"/>
      <c r="I197" s="36"/>
      <c r="J197" s="36"/>
      <c r="K197" s="36"/>
      <c r="L197" s="36"/>
      <c r="M197" s="36"/>
      <c r="N197" s="36"/>
      <c r="O197" s="164"/>
    </row>
    <row r="198" spans="1:15" x14ac:dyDescent="0.25">
      <c r="A198" s="131" t="s">
        <v>233</v>
      </c>
      <c r="B198" s="75" t="s">
        <v>181</v>
      </c>
      <c r="C198" s="36" t="s">
        <v>43</v>
      </c>
      <c r="D198" s="367" t="s">
        <v>517</v>
      </c>
      <c r="E198" s="292"/>
      <c r="F198" s="292"/>
      <c r="G198" s="292"/>
      <c r="H198" s="292"/>
      <c r="I198" s="292"/>
      <c r="J198" s="292"/>
      <c r="K198" s="292"/>
      <c r="L198" s="292"/>
      <c r="M198" s="292"/>
      <c r="N198" s="292"/>
      <c r="O198" s="164"/>
    </row>
    <row r="199" spans="1:15" x14ac:dyDescent="0.25">
      <c r="A199" s="131" t="s">
        <v>234</v>
      </c>
      <c r="B199" s="75" t="s">
        <v>115</v>
      </c>
      <c r="C199" s="36" t="str">
        <f>IF(D198="Gasóleo","l",IF(D198="Gasolina","l",IF(D198="Gás natural","m3"," ")))</f>
        <v xml:space="preserve"> </v>
      </c>
      <c r="D199" s="368"/>
      <c r="E199" s="281"/>
      <c r="F199" s="281"/>
      <c r="G199" s="281"/>
      <c r="H199" s="281"/>
      <c r="I199" s="281"/>
      <c r="J199" s="281"/>
      <c r="K199" s="281"/>
      <c r="L199" s="281"/>
      <c r="M199" s="281"/>
      <c r="N199" s="281"/>
      <c r="O199" s="164"/>
    </row>
    <row r="200" spans="1:15" x14ac:dyDescent="0.25">
      <c r="A200" s="33"/>
      <c r="B200" s="73" t="s">
        <v>513</v>
      </c>
      <c r="C200" s="36"/>
      <c r="D200" s="36"/>
      <c r="E200" s="36"/>
      <c r="F200" s="36"/>
      <c r="G200" s="36"/>
      <c r="H200" s="36"/>
      <c r="I200" s="36"/>
      <c r="J200" s="36"/>
      <c r="K200" s="36"/>
      <c r="L200" s="36"/>
      <c r="M200" s="36"/>
      <c r="N200" s="36"/>
      <c r="O200" s="164"/>
    </row>
    <row r="201" spans="1:15" x14ac:dyDescent="0.25">
      <c r="A201" s="131"/>
      <c r="B201" s="75" t="s">
        <v>181</v>
      </c>
      <c r="C201" s="36" t="s">
        <v>43</v>
      </c>
      <c r="D201" s="367" t="s">
        <v>517</v>
      </c>
      <c r="E201" s="292"/>
      <c r="F201" s="292"/>
      <c r="G201" s="292"/>
      <c r="H201" s="292"/>
      <c r="I201" s="292"/>
      <c r="J201" s="292"/>
      <c r="K201" s="292"/>
      <c r="L201" s="292"/>
      <c r="M201" s="292"/>
      <c r="N201" s="292"/>
      <c r="O201" s="164"/>
    </row>
    <row r="202" spans="1:15" x14ac:dyDescent="0.25">
      <c r="A202" s="131" t="s">
        <v>234</v>
      </c>
      <c r="B202" s="75" t="s">
        <v>115</v>
      </c>
      <c r="C202" s="36" t="str">
        <f>IF(D201="Gasóleo","l",IF(D201="Gasolina","l",IF(D201="Gás natural","m3"," ")))</f>
        <v xml:space="preserve"> </v>
      </c>
      <c r="D202" s="368"/>
      <c r="E202" s="281"/>
      <c r="F202" s="281"/>
      <c r="G202" s="281"/>
      <c r="H202" s="281"/>
      <c r="I202" s="281"/>
      <c r="J202" s="281"/>
      <c r="K202" s="281"/>
      <c r="L202" s="281"/>
      <c r="M202" s="281"/>
      <c r="N202" s="281"/>
      <c r="O202" s="164"/>
    </row>
    <row r="203" spans="1:15" x14ac:dyDescent="0.25">
      <c r="A203" s="228" t="s">
        <v>153</v>
      </c>
      <c r="B203" s="21" t="s">
        <v>224</v>
      </c>
      <c r="C203" s="22"/>
      <c r="D203" s="22"/>
      <c r="E203" s="34"/>
      <c r="F203" s="34"/>
      <c r="G203" s="34"/>
      <c r="H203" s="34"/>
      <c r="I203" s="34"/>
      <c r="J203" s="34"/>
      <c r="K203" s="34"/>
      <c r="L203" s="34"/>
      <c r="M203" s="34"/>
      <c r="N203" s="34"/>
      <c r="O203" s="35"/>
    </row>
    <row r="204" spans="1:15" x14ac:dyDescent="0.25">
      <c r="A204" s="33"/>
      <c r="B204" s="73" t="s">
        <v>22</v>
      </c>
      <c r="C204" s="36"/>
      <c r="D204" s="36"/>
      <c r="E204" s="36"/>
      <c r="F204" s="36"/>
      <c r="G204" s="36"/>
      <c r="H204" s="36"/>
      <c r="I204" s="36"/>
      <c r="J204" s="36"/>
      <c r="K204" s="36"/>
      <c r="L204" s="36"/>
      <c r="M204" s="36"/>
      <c r="N204" s="36"/>
      <c r="O204" s="164"/>
    </row>
    <row r="205" spans="1:15" x14ac:dyDescent="0.25">
      <c r="A205" s="131" t="s">
        <v>233</v>
      </c>
      <c r="B205" s="75" t="s">
        <v>181</v>
      </c>
      <c r="C205" s="36" t="s">
        <v>43</v>
      </c>
      <c r="D205" s="363" t="str">
        <f>IF('Input Técnico'!$D$180="Selecione a tiopologia do sistema de recolha a que o equipamento se destina"," ",IF('Input Técnico'!$D$180="Via pública","Via pública",IF('Input Técnico'!$D$180="Porta-a-porta","Porta-a-porta"," ")))</f>
        <v xml:space="preserve"> </v>
      </c>
      <c r="E205" s="280"/>
      <c r="F205" s="280"/>
      <c r="G205" s="280"/>
      <c r="H205" s="280"/>
      <c r="I205" s="280"/>
      <c r="J205" s="280"/>
      <c r="K205" s="280"/>
      <c r="L205" s="280"/>
      <c r="M205" s="280"/>
      <c r="N205" s="280"/>
      <c r="O205" s="164"/>
    </row>
    <row r="206" spans="1:15" x14ac:dyDescent="0.25">
      <c r="A206" s="131" t="s">
        <v>234</v>
      </c>
      <c r="B206" s="75" t="s">
        <v>115</v>
      </c>
      <c r="C206" s="36" t="s">
        <v>14</v>
      </c>
      <c r="D206" s="364"/>
      <c r="E206" s="74">
        <f>'Input Técnico'!F182</f>
        <v>0</v>
      </c>
      <c r="F206" s="74">
        <f>'Input Técnico'!G182</f>
        <v>0</v>
      </c>
      <c r="G206" s="74">
        <f>'Input Técnico'!H182</f>
        <v>0</v>
      </c>
      <c r="H206" s="74">
        <f>'Input Técnico'!I182</f>
        <v>0</v>
      </c>
      <c r="I206" s="74">
        <f>'Input Técnico'!J182</f>
        <v>0</v>
      </c>
      <c r="J206" s="74">
        <f>'Input Técnico'!K182</f>
        <v>0</v>
      </c>
      <c r="K206" s="74">
        <f>'Input Técnico'!L182</f>
        <v>0</v>
      </c>
      <c r="L206" s="74">
        <f>'Input Técnico'!M182</f>
        <v>0</v>
      </c>
      <c r="M206" s="74">
        <f>'Input Técnico'!N182</f>
        <v>0</v>
      </c>
      <c r="N206" s="74">
        <f>'Input Técnico'!O182</f>
        <v>0</v>
      </c>
      <c r="O206" s="164"/>
    </row>
    <row r="207" spans="1:15" x14ac:dyDescent="0.25">
      <c r="A207" s="33"/>
      <c r="B207" s="73" t="s">
        <v>24</v>
      </c>
      <c r="C207" s="36"/>
      <c r="D207" s="36"/>
      <c r="E207" s="36"/>
      <c r="F207" s="36"/>
      <c r="G207" s="36"/>
      <c r="H207" s="36"/>
      <c r="I207" s="36"/>
      <c r="J207" s="36"/>
      <c r="K207" s="36"/>
      <c r="L207" s="36"/>
      <c r="M207" s="36"/>
      <c r="N207" s="36"/>
      <c r="O207" s="164"/>
    </row>
    <row r="208" spans="1:15" x14ac:dyDescent="0.25">
      <c r="A208" s="131" t="s">
        <v>233</v>
      </c>
      <c r="B208" s="75" t="s">
        <v>181</v>
      </c>
      <c r="C208" s="36" t="s">
        <v>43</v>
      </c>
      <c r="D208" s="363" t="str">
        <f>IF('Input Técnico'!$D$184="Selecione a tiopologia do sistema de recolha a que o equipamento se destina"," ",IF('Input Técnico'!$D$184="Via pública","Via pública",IF('Input Técnico'!$D$184="Porta-a-porta","Porta-a-porta"," ")))</f>
        <v xml:space="preserve"> </v>
      </c>
      <c r="E208" s="280"/>
      <c r="F208" s="280"/>
      <c r="G208" s="280"/>
      <c r="H208" s="280"/>
      <c r="I208" s="280"/>
      <c r="J208" s="280"/>
      <c r="K208" s="280"/>
      <c r="L208" s="280"/>
      <c r="M208" s="280"/>
      <c r="N208" s="280"/>
      <c r="O208" s="164"/>
    </row>
    <row r="209" spans="1:15" x14ac:dyDescent="0.25">
      <c r="A209" s="131" t="s">
        <v>234</v>
      </c>
      <c r="B209" s="75" t="s">
        <v>115</v>
      </c>
      <c r="C209" s="36" t="s">
        <v>14</v>
      </c>
      <c r="D209" s="364"/>
      <c r="E209" s="74">
        <f>'Input Técnico'!F186</f>
        <v>0</v>
      </c>
      <c r="F209" s="74">
        <f>'Input Técnico'!G186</f>
        <v>0</v>
      </c>
      <c r="G209" s="74">
        <f>'Input Técnico'!H186</f>
        <v>0</v>
      </c>
      <c r="H209" s="74">
        <f>'Input Técnico'!I186</f>
        <v>0</v>
      </c>
      <c r="I209" s="74">
        <f>'Input Técnico'!J186</f>
        <v>0</v>
      </c>
      <c r="J209" s="74">
        <f>'Input Técnico'!K186</f>
        <v>0</v>
      </c>
      <c r="K209" s="74">
        <f>'Input Técnico'!L186</f>
        <v>0</v>
      </c>
      <c r="L209" s="74">
        <f>'Input Técnico'!M186</f>
        <v>0</v>
      </c>
      <c r="M209" s="74">
        <f>'Input Técnico'!N186</f>
        <v>0</v>
      </c>
      <c r="N209" s="74">
        <f>'Input Técnico'!O186</f>
        <v>0</v>
      </c>
      <c r="O209" s="164"/>
    </row>
    <row r="210" spans="1:15" x14ac:dyDescent="0.25">
      <c r="A210" s="33"/>
      <c r="B210" s="73" t="s">
        <v>25</v>
      </c>
      <c r="C210" s="36"/>
      <c r="D210" s="36"/>
      <c r="E210" s="36"/>
      <c r="F210" s="36"/>
      <c r="G210" s="36"/>
      <c r="H210" s="36"/>
      <c r="I210" s="36"/>
      <c r="J210" s="36"/>
      <c r="K210" s="36"/>
      <c r="L210" s="36"/>
      <c r="M210" s="36"/>
      <c r="N210" s="36"/>
      <c r="O210" s="164"/>
    </row>
    <row r="211" spans="1:15" x14ac:dyDescent="0.25">
      <c r="A211" s="131" t="s">
        <v>233</v>
      </c>
      <c r="B211" s="75" t="s">
        <v>181</v>
      </c>
      <c r="C211" s="36" t="s">
        <v>43</v>
      </c>
      <c r="D211" s="363" t="str">
        <f>IF('Input Técnico'!$D$188="Selecione a tiopologia do sistema de recolha a que o equipamento se destina"," ",IF('Input Técnico'!$D$188="Via pública","Via pública",IF('Input Técnico'!$D$188="Porta-a-porta","Porta-a-porta"," ")))</f>
        <v xml:space="preserve"> </v>
      </c>
      <c r="E211" s="280"/>
      <c r="F211" s="280"/>
      <c r="G211" s="280"/>
      <c r="H211" s="280"/>
      <c r="I211" s="280"/>
      <c r="J211" s="280"/>
      <c r="K211" s="280"/>
      <c r="L211" s="280"/>
      <c r="M211" s="280"/>
      <c r="N211" s="280"/>
      <c r="O211" s="164"/>
    </row>
    <row r="212" spans="1:15" x14ac:dyDescent="0.25">
      <c r="A212" s="131" t="s">
        <v>234</v>
      </c>
      <c r="B212" s="75" t="s">
        <v>115</v>
      </c>
      <c r="C212" s="36" t="s">
        <v>14</v>
      </c>
      <c r="D212" s="364"/>
      <c r="E212" s="74">
        <f>'Input Técnico'!F190</f>
        <v>0</v>
      </c>
      <c r="F212" s="74">
        <f>'Input Técnico'!G190</f>
        <v>0</v>
      </c>
      <c r="G212" s="74">
        <f>'Input Técnico'!H190</f>
        <v>0</v>
      </c>
      <c r="H212" s="74">
        <f>'Input Técnico'!I190</f>
        <v>0</v>
      </c>
      <c r="I212" s="74">
        <f>'Input Técnico'!J190</f>
        <v>0</v>
      </c>
      <c r="J212" s="74">
        <f>'Input Técnico'!K190</f>
        <v>0</v>
      </c>
      <c r="K212" s="74">
        <f>'Input Técnico'!L190</f>
        <v>0</v>
      </c>
      <c r="L212" s="74">
        <f>'Input Técnico'!M190</f>
        <v>0</v>
      </c>
      <c r="M212" s="74">
        <f>'Input Técnico'!N190</f>
        <v>0</v>
      </c>
      <c r="N212" s="74">
        <f>'Input Técnico'!O190</f>
        <v>0</v>
      </c>
      <c r="O212" s="164"/>
    </row>
    <row r="213" spans="1:15" x14ac:dyDescent="0.25">
      <c r="A213" s="33"/>
      <c r="B213" s="73" t="s">
        <v>26</v>
      </c>
      <c r="C213" s="36"/>
      <c r="D213" s="36"/>
      <c r="E213" s="36"/>
      <c r="F213" s="36"/>
      <c r="G213" s="36"/>
      <c r="H213" s="36"/>
      <c r="I213" s="36"/>
      <c r="J213" s="36"/>
      <c r="K213" s="36"/>
      <c r="L213" s="36"/>
      <c r="M213" s="36"/>
      <c r="N213" s="36"/>
      <c r="O213" s="164"/>
    </row>
    <row r="214" spans="1:15" x14ac:dyDescent="0.25">
      <c r="A214" s="131" t="s">
        <v>233</v>
      </c>
      <c r="B214" s="75" t="s">
        <v>181</v>
      </c>
      <c r="C214" s="36" t="s">
        <v>43</v>
      </c>
      <c r="D214" s="363" t="str">
        <f>IF('Input Técnico'!$D$192="Selecione a tiopologia do sistema de recolha a que o equipamento se destina"," ",IF('Input Técnico'!$D$192="Via pública","Via pública",IF('Input Técnico'!$D$192="Porta-a-porta","Porta-a-porta"," ")))</f>
        <v xml:space="preserve"> </v>
      </c>
      <c r="E214" s="280"/>
      <c r="F214" s="280"/>
      <c r="G214" s="280"/>
      <c r="H214" s="280"/>
      <c r="I214" s="280"/>
      <c r="J214" s="280"/>
      <c r="K214" s="280"/>
      <c r="L214" s="280"/>
      <c r="M214" s="280"/>
      <c r="N214" s="280"/>
      <c r="O214" s="164"/>
    </row>
    <row r="215" spans="1:15" x14ac:dyDescent="0.25">
      <c r="A215" s="131" t="s">
        <v>234</v>
      </c>
      <c r="B215" s="75" t="s">
        <v>115</v>
      </c>
      <c r="C215" s="36" t="s">
        <v>14</v>
      </c>
      <c r="D215" s="364"/>
      <c r="E215" s="74">
        <f>'Input Técnico'!F194</f>
        <v>0</v>
      </c>
      <c r="F215" s="74">
        <f>'Input Técnico'!G194</f>
        <v>0</v>
      </c>
      <c r="G215" s="74">
        <f>'Input Técnico'!H194</f>
        <v>0</v>
      </c>
      <c r="H215" s="74">
        <f>'Input Técnico'!I194</f>
        <v>0</v>
      </c>
      <c r="I215" s="74">
        <f>'Input Técnico'!J194</f>
        <v>0</v>
      </c>
      <c r="J215" s="74">
        <f>'Input Técnico'!K194</f>
        <v>0</v>
      </c>
      <c r="K215" s="74">
        <f>'Input Técnico'!L194</f>
        <v>0</v>
      </c>
      <c r="L215" s="74">
        <f>'Input Técnico'!M194</f>
        <v>0</v>
      </c>
      <c r="M215" s="74">
        <f>'Input Técnico'!N194</f>
        <v>0</v>
      </c>
      <c r="N215" s="74">
        <f>'Input Técnico'!O194</f>
        <v>0</v>
      </c>
      <c r="O215" s="164"/>
    </row>
    <row r="216" spans="1:15" x14ac:dyDescent="0.25">
      <c r="A216" s="33"/>
      <c r="B216" s="73" t="s">
        <v>27</v>
      </c>
      <c r="C216" s="36"/>
      <c r="D216" s="36"/>
      <c r="E216" s="36"/>
      <c r="F216" s="36"/>
      <c r="G216" s="36"/>
      <c r="H216" s="36"/>
      <c r="I216" s="36"/>
      <c r="J216" s="36"/>
      <c r="K216" s="36"/>
      <c r="L216" s="36"/>
      <c r="M216" s="36"/>
      <c r="N216" s="36"/>
      <c r="O216" s="164"/>
    </row>
    <row r="217" spans="1:15" x14ac:dyDescent="0.25">
      <c r="A217" s="131" t="s">
        <v>233</v>
      </c>
      <c r="B217" s="75" t="s">
        <v>181</v>
      </c>
      <c r="C217" s="36" t="s">
        <v>43</v>
      </c>
      <c r="D217" s="363" t="str">
        <f>IF('Input Técnico'!$D$196="Selecione a tiopologia do sistema de recolha a que o equipamento se destina"," ",IF('Input Técnico'!$D$196="Via pública","Via pública",IF('Input Técnico'!$D$196="Porta-a-porta","Porta-a-porta"," ")))</f>
        <v xml:space="preserve"> </v>
      </c>
      <c r="E217" s="280"/>
      <c r="F217" s="280"/>
      <c r="G217" s="280"/>
      <c r="H217" s="280"/>
      <c r="I217" s="280"/>
      <c r="J217" s="280"/>
      <c r="K217" s="280"/>
      <c r="L217" s="280"/>
      <c r="M217" s="280"/>
      <c r="N217" s="280"/>
      <c r="O217" s="164"/>
    </row>
    <row r="218" spans="1:15" x14ac:dyDescent="0.25">
      <c r="A218" s="131" t="s">
        <v>234</v>
      </c>
      <c r="B218" s="75" t="s">
        <v>115</v>
      </c>
      <c r="C218" s="36" t="s">
        <v>14</v>
      </c>
      <c r="D218" s="364"/>
      <c r="E218" s="74">
        <f>'Input Técnico'!F198</f>
        <v>0</v>
      </c>
      <c r="F218" s="74">
        <f>'Input Técnico'!G198</f>
        <v>0</v>
      </c>
      <c r="G218" s="74">
        <f>'Input Técnico'!H198</f>
        <v>0</v>
      </c>
      <c r="H218" s="74">
        <f>'Input Técnico'!I198</f>
        <v>0</v>
      </c>
      <c r="I218" s="74">
        <f>'Input Técnico'!J198</f>
        <v>0</v>
      </c>
      <c r="J218" s="74">
        <f>'Input Técnico'!K198</f>
        <v>0</v>
      </c>
      <c r="K218" s="74">
        <f>'Input Técnico'!L198</f>
        <v>0</v>
      </c>
      <c r="L218" s="74">
        <f>'Input Técnico'!M198</f>
        <v>0</v>
      </c>
      <c r="M218" s="74">
        <f>'Input Técnico'!N198</f>
        <v>0</v>
      </c>
      <c r="N218" s="74">
        <f>'Input Técnico'!O198</f>
        <v>0</v>
      </c>
      <c r="O218" s="164"/>
    </row>
    <row r="219" spans="1:15" x14ac:dyDescent="0.25">
      <c r="A219" s="33"/>
      <c r="B219" s="73" t="s">
        <v>450</v>
      </c>
      <c r="C219" s="36"/>
      <c r="D219" s="36"/>
      <c r="E219" s="36"/>
      <c r="F219" s="36"/>
      <c r="G219" s="36"/>
      <c r="H219" s="36"/>
      <c r="I219" s="36"/>
      <c r="J219" s="36"/>
      <c r="K219" s="36"/>
      <c r="L219" s="36"/>
      <c r="M219" s="36"/>
      <c r="N219" s="36"/>
      <c r="O219" s="164"/>
    </row>
    <row r="220" spans="1:15" x14ac:dyDescent="0.25">
      <c r="A220" s="131" t="s">
        <v>233</v>
      </c>
      <c r="B220" s="75" t="s">
        <v>181</v>
      </c>
      <c r="C220" s="36" t="s">
        <v>43</v>
      </c>
      <c r="D220" s="363" t="str">
        <f>IF('Input Técnico'!$D$200="Selecione a tiopologia do sistema de recolha a que o equipamento se destina"," ",IF('Input Técnico'!$D$200="Via pública","Via pública",IF('Input Técnico'!$D$200="Porta-a-porta","Porta-a-porta"," ")))</f>
        <v xml:space="preserve"> </v>
      </c>
      <c r="E220" s="280"/>
      <c r="F220" s="280"/>
      <c r="G220" s="280"/>
      <c r="H220" s="280"/>
      <c r="I220" s="280"/>
      <c r="J220" s="280"/>
      <c r="K220" s="280"/>
      <c r="L220" s="280"/>
      <c r="M220" s="280"/>
      <c r="N220" s="280"/>
      <c r="O220" s="164"/>
    </row>
    <row r="221" spans="1:15" x14ac:dyDescent="0.25">
      <c r="A221" s="131" t="s">
        <v>234</v>
      </c>
      <c r="B221" s="75" t="s">
        <v>115</v>
      </c>
      <c r="C221" s="36" t="s">
        <v>14</v>
      </c>
      <c r="D221" s="364"/>
      <c r="E221" s="74">
        <f>'Input Técnico'!F202</f>
        <v>0</v>
      </c>
      <c r="F221" s="74">
        <f>'Input Técnico'!G202</f>
        <v>0</v>
      </c>
      <c r="G221" s="74">
        <f>'Input Técnico'!H202</f>
        <v>0</v>
      </c>
      <c r="H221" s="74">
        <f>'Input Técnico'!I202</f>
        <v>0</v>
      </c>
      <c r="I221" s="74">
        <f>'Input Técnico'!J202</f>
        <v>0</v>
      </c>
      <c r="J221" s="74">
        <f>'Input Técnico'!K202</f>
        <v>0</v>
      </c>
      <c r="K221" s="74">
        <f>'Input Técnico'!L202</f>
        <v>0</v>
      </c>
      <c r="L221" s="74">
        <f>'Input Técnico'!M202</f>
        <v>0</v>
      </c>
      <c r="M221" s="74">
        <f>'Input Técnico'!N202</f>
        <v>0</v>
      </c>
      <c r="N221" s="74">
        <f>'Input Técnico'!O202</f>
        <v>0</v>
      </c>
      <c r="O221" s="164"/>
    </row>
    <row r="222" spans="1:15" x14ac:dyDescent="0.25">
      <c r="A222" s="33"/>
      <c r="B222" s="73" t="s">
        <v>451</v>
      </c>
      <c r="C222" s="36"/>
      <c r="D222" s="36"/>
      <c r="E222" s="36"/>
      <c r="F222" s="36"/>
      <c r="G222" s="36"/>
      <c r="H222" s="36"/>
      <c r="I222" s="36"/>
      <c r="J222" s="36"/>
      <c r="K222" s="36"/>
      <c r="L222" s="36"/>
      <c r="M222" s="36"/>
      <c r="N222" s="36"/>
      <c r="O222" s="164"/>
    </row>
    <row r="223" spans="1:15" x14ac:dyDescent="0.25">
      <c r="A223" s="131" t="s">
        <v>233</v>
      </c>
      <c r="B223" s="75" t="s">
        <v>181</v>
      </c>
      <c r="C223" s="36" t="s">
        <v>43</v>
      </c>
      <c r="D223" s="363" t="str">
        <f>IF('Input Técnico'!$D$204="Selecione a tiopologia do sistema de recolha a que o equipamento se destina"," ",IF('Input Técnico'!$D$204="Via pública","Via pública",IF('Input Técnico'!$D$204="Porta-a-porta","Porta-a-porta"," ")))</f>
        <v xml:space="preserve"> </v>
      </c>
      <c r="E223" s="280"/>
      <c r="F223" s="280"/>
      <c r="G223" s="280"/>
      <c r="H223" s="280"/>
      <c r="I223" s="280"/>
      <c r="J223" s="280"/>
      <c r="K223" s="280"/>
      <c r="L223" s="280"/>
      <c r="M223" s="280"/>
      <c r="N223" s="280"/>
      <c r="O223" s="164"/>
    </row>
    <row r="224" spans="1:15" x14ac:dyDescent="0.25">
      <c r="A224" s="131" t="s">
        <v>234</v>
      </c>
      <c r="B224" s="75" t="s">
        <v>115</v>
      </c>
      <c r="C224" s="36" t="s">
        <v>14</v>
      </c>
      <c r="D224" s="364"/>
      <c r="E224" s="74">
        <f>'Input Técnico'!F206</f>
        <v>0</v>
      </c>
      <c r="F224" s="74">
        <f>'Input Técnico'!G206</f>
        <v>0</v>
      </c>
      <c r="G224" s="74">
        <f>'Input Técnico'!H206</f>
        <v>0</v>
      </c>
      <c r="H224" s="74">
        <f>'Input Técnico'!I206</f>
        <v>0</v>
      </c>
      <c r="I224" s="74">
        <f>'Input Técnico'!J206</f>
        <v>0</v>
      </c>
      <c r="J224" s="74">
        <f>'Input Técnico'!K206</f>
        <v>0</v>
      </c>
      <c r="K224" s="74">
        <f>'Input Técnico'!L206</f>
        <v>0</v>
      </c>
      <c r="L224" s="74">
        <f>'Input Técnico'!M206</f>
        <v>0</v>
      </c>
      <c r="M224" s="74">
        <f>'Input Técnico'!N206</f>
        <v>0</v>
      </c>
      <c r="N224" s="74">
        <f>'Input Técnico'!O206</f>
        <v>0</v>
      </c>
      <c r="O224" s="164"/>
    </row>
    <row r="225" spans="1:15" x14ac:dyDescent="0.25">
      <c r="A225" s="33"/>
      <c r="B225" s="73" t="s">
        <v>500</v>
      </c>
      <c r="C225" s="36"/>
      <c r="D225" s="36"/>
      <c r="E225" s="189"/>
      <c r="F225" s="36"/>
      <c r="G225" s="36"/>
      <c r="H225" s="36"/>
      <c r="I225" s="36"/>
      <c r="J225" s="36"/>
      <c r="K225" s="36"/>
      <c r="L225" s="36"/>
      <c r="M225" s="36"/>
      <c r="N225" s="36"/>
      <c r="O225" s="164"/>
    </row>
    <row r="226" spans="1:15" x14ac:dyDescent="0.25">
      <c r="A226" s="131" t="s">
        <v>233</v>
      </c>
      <c r="B226" s="75" t="s">
        <v>181</v>
      </c>
      <c r="C226" s="36" t="s">
        <v>43</v>
      </c>
      <c r="D226" s="363" t="str">
        <f>IF('Input Técnico'!$D$208="Selecione a tiopologia do sistema de recolha a que o equipamento se destina"," ",IF('Input Técnico'!$D$208="Via pública","Via pública",IF('Input Técnico'!$D$208="Porta-a-porta","Porta-a-porta"," ")))</f>
        <v xml:space="preserve"> </v>
      </c>
      <c r="E226" s="280"/>
      <c r="F226" s="280"/>
      <c r="G226" s="280"/>
      <c r="H226" s="280"/>
      <c r="I226" s="280"/>
      <c r="J226" s="280"/>
      <c r="K226" s="280"/>
      <c r="L226" s="280"/>
      <c r="M226" s="280"/>
      <c r="N226" s="280"/>
      <c r="O226" s="164"/>
    </row>
    <row r="227" spans="1:15" x14ac:dyDescent="0.25">
      <c r="A227" s="131" t="s">
        <v>234</v>
      </c>
      <c r="B227" s="75" t="s">
        <v>115</v>
      </c>
      <c r="C227" s="36" t="s">
        <v>14</v>
      </c>
      <c r="D227" s="364"/>
      <c r="E227" s="74">
        <f>'Input Técnico'!F210</f>
        <v>0</v>
      </c>
      <c r="F227" s="74">
        <f>'Input Técnico'!G210</f>
        <v>0</v>
      </c>
      <c r="G227" s="74">
        <f>'Input Técnico'!H210</f>
        <v>0</v>
      </c>
      <c r="H227" s="74">
        <f>'Input Técnico'!I210</f>
        <v>0</v>
      </c>
      <c r="I227" s="74">
        <f>'Input Técnico'!J210</f>
        <v>0</v>
      </c>
      <c r="J227" s="74">
        <f>'Input Técnico'!K210</f>
        <v>0</v>
      </c>
      <c r="K227" s="74">
        <f>'Input Técnico'!L210</f>
        <v>0</v>
      </c>
      <c r="L227" s="74">
        <f>'Input Técnico'!M210</f>
        <v>0</v>
      </c>
      <c r="M227" s="74">
        <f>'Input Técnico'!N210</f>
        <v>0</v>
      </c>
      <c r="N227" s="74">
        <f>'Input Técnico'!O210</f>
        <v>0</v>
      </c>
      <c r="O227" s="164"/>
    </row>
    <row r="228" spans="1:15" x14ac:dyDescent="0.25">
      <c r="A228" s="33"/>
      <c r="B228" s="73" t="s">
        <v>511</v>
      </c>
      <c r="C228" s="36"/>
      <c r="D228" s="36"/>
      <c r="E228" s="79"/>
      <c r="F228" s="79"/>
      <c r="G228" s="79"/>
      <c r="H228" s="79"/>
      <c r="I228" s="79"/>
      <c r="J228" s="79"/>
      <c r="K228" s="79"/>
      <c r="L228" s="79"/>
      <c r="M228" s="79"/>
      <c r="N228" s="79"/>
      <c r="O228" s="164"/>
    </row>
    <row r="229" spans="1:15" x14ac:dyDescent="0.25">
      <c r="A229" s="131" t="s">
        <v>233</v>
      </c>
      <c r="B229" s="75" t="s">
        <v>181</v>
      </c>
      <c r="C229" s="36" t="s">
        <v>43</v>
      </c>
      <c r="D229" s="36"/>
      <c r="E229" s="280"/>
      <c r="F229" s="280"/>
      <c r="G229" s="280"/>
      <c r="H229" s="280"/>
      <c r="I229" s="280"/>
      <c r="J229" s="280"/>
      <c r="K229" s="280"/>
      <c r="L229" s="280"/>
      <c r="M229" s="280"/>
      <c r="N229" s="280"/>
      <c r="O229" s="164"/>
    </row>
    <row r="230" spans="1:15" x14ac:dyDescent="0.25">
      <c r="A230" s="131" t="s">
        <v>234</v>
      </c>
      <c r="B230" s="75" t="s">
        <v>115</v>
      </c>
      <c r="C230" s="36" t="s">
        <v>14</v>
      </c>
      <c r="D230" s="36"/>
      <c r="E230" s="242"/>
      <c r="F230" s="242"/>
      <c r="G230" s="242"/>
      <c r="H230" s="242"/>
      <c r="I230" s="242"/>
      <c r="J230" s="242"/>
      <c r="K230" s="242"/>
      <c r="L230" s="242"/>
      <c r="M230" s="242"/>
      <c r="N230" s="242"/>
      <c r="O230" s="164"/>
    </row>
    <row r="231" spans="1:15" x14ac:dyDescent="0.25">
      <c r="A231" s="33"/>
      <c r="B231" s="73" t="s">
        <v>512</v>
      </c>
      <c r="C231" s="36"/>
      <c r="D231" s="36"/>
      <c r="E231" s="79"/>
      <c r="F231" s="79"/>
      <c r="G231" s="79"/>
      <c r="H231" s="79"/>
      <c r="I231" s="79"/>
      <c r="J231" s="79"/>
      <c r="K231" s="79"/>
      <c r="L231" s="79"/>
      <c r="M231" s="79"/>
      <c r="N231" s="79"/>
      <c r="O231" s="164"/>
    </row>
    <row r="232" spans="1:15" x14ac:dyDescent="0.25">
      <c r="A232" s="131" t="s">
        <v>233</v>
      </c>
      <c r="B232" s="75" t="s">
        <v>181</v>
      </c>
      <c r="C232" s="36" t="s">
        <v>43</v>
      </c>
      <c r="D232" s="36"/>
      <c r="E232" s="280"/>
      <c r="F232" s="280"/>
      <c r="G232" s="280"/>
      <c r="H232" s="280"/>
      <c r="I232" s="280"/>
      <c r="J232" s="280"/>
      <c r="K232" s="280"/>
      <c r="L232" s="280"/>
      <c r="M232" s="280"/>
      <c r="N232" s="280"/>
      <c r="O232" s="164"/>
    </row>
    <row r="233" spans="1:15" x14ac:dyDescent="0.25">
      <c r="A233" s="131" t="s">
        <v>234</v>
      </c>
      <c r="B233" s="75" t="s">
        <v>115</v>
      </c>
      <c r="C233" s="36" t="s">
        <v>14</v>
      </c>
      <c r="D233" s="36"/>
      <c r="E233" s="242"/>
      <c r="F233" s="242"/>
      <c r="G233" s="242"/>
      <c r="H233" s="242"/>
      <c r="I233" s="242"/>
      <c r="J233" s="242"/>
      <c r="K233" s="242"/>
      <c r="L233" s="242"/>
      <c r="M233" s="242"/>
      <c r="N233" s="242"/>
      <c r="O233" s="164"/>
    </row>
    <row r="234" spans="1:15" x14ac:dyDescent="0.25">
      <c r="A234" s="33"/>
      <c r="B234" s="73" t="s">
        <v>513</v>
      </c>
      <c r="C234" s="36"/>
      <c r="D234" s="36"/>
      <c r="E234" s="79"/>
      <c r="F234" s="79"/>
      <c r="G234" s="79"/>
      <c r="H234" s="79"/>
      <c r="I234" s="79"/>
      <c r="J234" s="79"/>
      <c r="K234" s="79"/>
      <c r="L234" s="79"/>
      <c r="M234" s="79"/>
      <c r="N234" s="79"/>
      <c r="O234" s="164"/>
    </row>
    <row r="235" spans="1:15" x14ac:dyDescent="0.25">
      <c r="A235" s="131" t="s">
        <v>233</v>
      </c>
      <c r="B235" s="75" t="s">
        <v>181</v>
      </c>
      <c r="C235" s="36" t="s">
        <v>43</v>
      </c>
      <c r="D235" s="36"/>
      <c r="E235" s="280"/>
      <c r="F235" s="280"/>
      <c r="G235" s="280"/>
      <c r="H235" s="280"/>
      <c r="I235" s="280"/>
      <c r="J235" s="280"/>
      <c r="K235" s="280"/>
      <c r="L235" s="280"/>
      <c r="M235" s="280"/>
      <c r="N235" s="280"/>
      <c r="O235" s="164"/>
    </row>
    <row r="236" spans="1:15" x14ac:dyDescent="0.25">
      <c r="A236" s="131" t="s">
        <v>234</v>
      </c>
      <c r="B236" s="75" t="s">
        <v>115</v>
      </c>
      <c r="C236" s="36" t="s">
        <v>14</v>
      </c>
      <c r="D236" s="36"/>
      <c r="E236" s="172"/>
      <c r="F236" s="172"/>
      <c r="G236" s="172"/>
      <c r="H236" s="172"/>
      <c r="I236" s="172"/>
      <c r="J236" s="172"/>
      <c r="K236" s="172"/>
      <c r="L236" s="172"/>
      <c r="M236" s="172"/>
      <c r="N236" s="172"/>
      <c r="O236" s="164"/>
    </row>
    <row r="237" spans="1:15" x14ac:dyDescent="0.25">
      <c r="A237" s="228" t="s">
        <v>403</v>
      </c>
      <c r="B237" s="21" t="s">
        <v>571</v>
      </c>
      <c r="C237" s="21"/>
      <c r="D237" s="21"/>
      <c r="E237" s="34"/>
      <c r="F237" s="34"/>
      <c r="G237" s="34"/>
      <c r="H237" s="34"/>
      <c r="I237" s="34"/>
      <c r="J237" s="34"/>
      <c r="K237" s="34"/>
      <c r="L237" s="34"/>
      <c r="M237" s="34"/>
      <c r="N237" s="34"/>
      <c r="O237" s="35"/>
    </row>
    <row r="238" spans="1:15" x14ac:dyDescent="0.25">
      <c r="A238" s="227" t="s">
        <v>407</v>
      </c>
      <c r="B238" s="73" t="s">
        <v>79</v>
      </c>
      <c r="C238" s="80"/>
      <c r="D238" s="80"/>
      <c r="E238" s="79"/>
      <c r="F238" s="79"/>
      <c r="G238" s="79"/>
      <c r="H238" s="79"/>
      <c r="I238" s="79"/>
      <c r="J238" s="79"/>
      <c r="K238" s="79"/>
      <c r="L238" s="79"/>
      <c r="M238" s="79"/>
      <c r="N238" s="79"/>
      <c r="O238" s="164"/>
    </row>
    <row r="239" spans="1:15" x14ac:dyDescent="0.25">
      <c r="A239" s="33"/>
      <c r="B239" s="75" t="s">
        <v>17</v>
      </c>
      <c r="C239" s="36"/>
      <c r="D239" s="36"/>
      <c r="E239" s="79"/>
      <c r="F239" s="79"/>
      <c r="G239" s="79"/>
      <c r="H239" s="79"/>
      <c r="I239" s="79"/>
      <c r="J239" s="79"/>
      <c r="K239" s="79"/>
      <c r="L239" s="79"/>
      <c r="M239" s="79"/>
      <c r="N239" s="79"/>
      <c r="O239" s="164"/>
    </row>
    <row r="240" spans="1:15" x14ac:dyDescent="0.25">
      <c r="A240" s="131" t="s">
        <v>233</v>
      </c>
      <c r="B240" s="114" t="s">
        <v>181</v>
      </c>
      <c r="C240" s="36" t="s">
        <v>43</v>
      </c>
      <c r="D240" s="365" t="str">
        <f>IF('Input Técnico'!$D$131="Selecione a tiopologia do sistema de recolha a que o equipamento se destina"," ",IF('Input Técnico'!$D$131="Via pública","Via pública",IF('Input Técnico'!$D$131="Porta-a-porta","Porta-a-porta",IF('Input Técnico'!$D$131="Reciclagem na origem","Reciclagem na origem"," "))))</f>
        <v xml:space="preserve"> </v>
      </c>
      <c r="E240" s="280"/>
      <c r="F240" s="280"/>
      <c r="G240" s="280"/>
      <c r="H240" s="280"/>
      <c r="I240" s="280"/>
      <c r="J240" s="280"/>
      <c r="K240" s="280"/>
      <c r="L240" s="280"/>
      <c r="M240" s="280"/>
      <c r="N240" s="280"/>
      <c r="O240" s="164"/>
    </row>
    <row r="241" spans="1:15" x14ac:dyDescent="0.25">
      <c r="A241" s="131" t="s">
        <v>234</v>
      </c>
      <c r="B241" s="114" t="s">
        <v>115</v>
      </c>
      <c r="C241" s="36" t="s">
        <v>14</v>
      </c>
      <c r="D241" s="366"/>
      <c r="E241" s="118">
        <f>'Input Técnico'!F133</f>
        <v>0</v>
      </c>
      <c r="F241" s="118">
        <f>'Input Técnico'!G133</f>
        <v>0</v>
      </c>
      <c r="G241" s="118">
        <f>'Input Técnico'!H133</f>
        <v>0</v>
      </c>
      <c r="H241" s="118">
        <f>'Input Técnico'!I133</f>
        <v>0</v>
      </c>
      <c r="I241" s="118">
        <f>'Input Técnico'!J133</f>
        <v>0</v>
      </c>
      <c r="J241" s="118">
        <f>'Input Técnico'!K133</f>
        <v>0</v>
      </c>
      <c r="K241" s="118">
        <f>'Input Técnico'!L133</f>
        <v>0</v>
      </c>
      <c r="L241" s="118">
        <f>'Input Técnico'!M133</f>
        <v>0</v>
      </c>
      <c r="M241" s="118">
        <f>'Input Técnico'!N133</f>
        <v>0</v>
      </c>
      <c r="N241" s="118">
        <f>'Input Técnico'!O133</f>
        <v>0</v>
      </c>
      <c r="O241" s="164"/>
    </row>
    <row r="242" spans="1:15" x14ac:dyDescent="0.25">
      <c r="A242" s="33"/>
      <c r="B242" s="75" t="s">
        <v>18</v>
      </c>
      <c r="C242" s="36"/>
      <c r="D242" s="36"/>
      <c r="E242" s="79"/>
      <c r="F242" s="79"/>
      <c r="G242" s="79"/>
      <c r="H242" s="79"/>
      <c r="I242" s="79"/>
      <c r="J242" s="79"/>
      <c r="K242" s="79"/>
      <c r="L242" s="79"/>
      <c r="M242" s="79"/>
      <c r="N242" s="79"/>
      <c r="O242" s="164"/>
    </row>
    <row r="243" spans="1:15" x14ac:dyDescent="0.25">
      <c r="A243" s="131" t="s">
        <v>233</v>
      </c>
      <c r="B243" s="114" t="s">
        <v>181</v>
      </c>
      <c r="C243" s="36" t="s">
        <v>43</v>
      </c>
      <c r="D243" s="365" t="str">
        <f>IF('Input Técnico'!$D$135="Selecione a tiopologia do sistema de recolha a que o equipamento se destina"," ",IF('Input Técnico'!$D$135="Via pública","Via pública",IF('Input Técnico'!$D$135="Porta-a-porta","Porta-a-porta",IF('Input Técnico'!$D$135="Reciclagem na origem","Reciclagem na origem"," "))))</f>
        <v xml:space="preserve"> </v>
      </c>
      <c r="E243" s="280"/>
      <c r="F243" s="280"/>
      <c r="G243" s="280"/>
      <c r="H243" s="280"/>
      <c r="I243" s="280"/>
      <c r="J243" s="280"/>
      <c r="K243" s="280"/>
      <c r="L243" s="280"/>
      <c r="M243" s="280"/>
      <c r="N243" s="280"/>
      <c r="O243" s="164"/>
    </row>
    <row r="244" spans="1:15" x14ac:dyDescent="0.25">
      <c r="A244" s="131" t="s">
        <v>234</v>
      </c>
      <c r="B244" s="114" t="s">
        <v>115</v>
      </c>
      <c r="C244" s="36" t="s">
        <v>14</v>
      </c>
      <c r="D244" s="366"/>
      <c r="E244" s="118">
        <f>'Input Técnico'!F137</f>
        <v>0</v>
      </c>
      <c r="F244" s="118">
        <f>'Input Técnico'!G137</f>
        <v>0</v>
      </c>
      <c r="G244" s="118">
        <f>'Input Técnico'!H137</f>
        <v>0</v>
      </c>
      <c r="H244" s="118">
        <f>'Input Técnico'!I137</f>
        <v>0</v>
      </c>
      <c r="I244" s="118">
        <f>'Input Técnico'!J137</f>
        <v>0</v>
      </c>
      <c r="J244" s="118">
        <f>'Input Técnico'!K137</f>
        <v>0</v>
      </c>
      <c r="K244" s="118">
        <f>'Input Técnico'!L137</f>
        <v>0</v>
      </c>
      <c r="L244" s="118">
        <f>'Input Técnico'!M137</f>
        <v>0</v>
      </c>
      <c r="M244" s="118">
        <f>'Input Técnico'!N137</f>
        <v>0</v>
      </c>
      <c r="N244" s="118">
        <f>'Input Técnico'!O137</f>
        <v>0</v>
      </c>
      <c r="O244" s="164"/>
    </row>
    <row r="245" spans="1:15" x14ac:dyDescent="0.25">
      <c r="A245" s="33"/>
      <c r="B245" s="75" t="s">
        <v>19</v>
      </c>
      <c r="C245" s="36"/>
      <c r="D245" s="36"/>
      <c r="E245" s="79"/>
      <c r="F245" s="79"/>
      <c r="G245" s="79"/>
      <c r="H245" s="79"/>
      <c r="I245" s="79"/>
      <c r="J245" s="79"/>
      <c r="K245" s="79"/>
      <c r="L245" s="79"/>
      <c r="M245" s="79"/>
      <c r="N245" s="79"/>
      <c r="O245" s="164"/>
    </row>
    <row r="246" spans="1:15" x14ac:dyDescent="0.25">
      <c r="A246" s="131" t="s">
        <v>233</v>
      </c>
      <c r="B246" s="114" t="s">
        <v>181</v>
      </c>
      <c r="C246" s="36" t="s">
        <v>43</v>
      </c>
      <c r="D246" s="365" t="str">
        <f>IF('Input Técnico'!$D$139="Selecione a tiopologia do sistema de recolha a que o equipamento se destina"," ",IF('Input Técnico'!$D$139="Via pública","Via pública",IF('Input Técnico'!$D$139="Porta-a-porta","Porta-a-porta",IF('Input Técnico'!$D$139="Reciclagem na origem","Reciclagem na origem"," "))))</f>
        <v xml:space="preserve"> </v>
      </c>
      <c r="E246" s="280"/>
      <c r="F246" s="280"/>
      <c r="G246" s="280"/>
      <c r="H246" s="280"/>
      <c r="I246" s="280"/>
      <c r="J246" s="280"/>
      <c r="K246" s="280"/>
      <c r="L246" s="280"/>
      <c r="M246" s="280"/>
      <c r="N246" s="280"/>
      <c r="O246" s="164"/>
    </row>
    <row r="247" spans="1:15" x14ac:dyDescent="0.25">
      <c r="A247" s="131" t="s">
        <v>234</v>
      </c>
      <c r="B247" s="114" t="s">
        <v>115</v>
      </c>
      <c r="C247" s="36" t="s">
        <v>14</v>
      </c>
      <c r="D247" s="366"/>
      <c r="E247" s="117">
        <f>'Input Técnico'!F141</f>
        <v>0</v>
      </c>
      <c r="F247" s="117">
        <f>'Input Técnico'!G141</f>
        <v>0</v>
      </c>
      <c r="G247" s="117">
        <f>'Input Técnico'!H141</f>
        <v>0</v>
      </c>
      <c r="H247" s="117">
        <f>'Input Técnico'!I141</f>
        <v>0</v>
      </c>
      <c r="I247" s="117">
        <f>'Input Técnico'!J141</f>
        <v>0</v>
      </c>
      <c r="J247" s="117">
        <f>'Input Técnico'!K141</f>
        <v>0</v>
      </c>
      <c r="K247" s="117">
        <f>'Input Técnico'!L141</f>
        <v>0</v>
      </c>
      <c r="L247" s="117">
        <f>'Input Técnico'!M141</f>
        <v>0</v>
      </c>
      <c r="M247" s="117">
        <f>'Input Técnico'!N141</f>
        <v>0</v>
      </c>
      <c r="N247" s="117">
        <f>'Input Técnico'!O141</f>
        <v>0</v>
      </c>
      <c r="O247" s="164"/>
    </row>
    <row r="248" spans="1:15" x14ac:dyDescent="0.25">
      <c r="A248" s="33"/>
      <c r="B248" s="75" t="s">
        <v>20</v>
      </c>
      <c r="C248" s="36"/>
      <c r="D248" s="36"/>
      <c r="E248" s="79"/>
      <c r="F248" s="79"/>
      <c r="G248" s="79"/>
      <c r="H248" s="79"/>
      <c r="I248" s="79"/>
      <c r="J248" s="79"/>
      <c r="K248" s="79"/>
      <c r="L248" s="79"/>
      <c r="M248" s="79"/>
      <c r="N248" s="79"/>
      <c r="O248" s="164"/>
    </row>
    <row r="249" spans="1:15" x14ac:dyDescent="0.25">
      <c r="A249" s="131" t="s">
        <v>233</v>
      </c>
      <c r="B249" s="114" t="s">
        <v>181</v>
      </c>
      <c r="C249" s="36" t="s">
        <v>43</v>
      </c>
      <c r="D249" s="365" t="str">
        <f>IF('Input Técnico'!$D$143="Selecione a tiopologia do sistema de recolha a que o equipamento se destina"," ",IF('Input Técnico'!$D$143="Via pública","Via pública",IF('Input Técnico'!$D$143="Porta-a-porta","Porta-a-porta",IF('Input Técnico'!$D$143="Reciclagem na origem","Reciclagem na origem"," "))))</f>
        <v xml:space="preserve"> </v>
      </c>
      <c r="E249" s="166"/>
      <c r="F249" s="166"/>
      <c r="G249" s="166"/>
      <c r="H249" s="166"/>
      <c r="I249" s="166"/>
      <c r="J249" s="166"/>
      <c r="K249" s="166"/>
      <c r="L249" s="166"/>
      <c r="M249" s="166"/>
      <c r="N249" s="166"/>
      <c r="O249" s="164"/>
    </row>
    <row r="250" spans="1:15" x14ac:dyDescent="0.25">
      <c r="A250" s="131" t="s">
        <v>234</v>
      </c>
      <c r="B250" s="114" t="s">
        <v>115</v>
      </c>
      <c r="C250" s="36" t="s">
        <v>14</v>
      </c>
      <c r="D250" s="366"/>
      <c r="E250" s="118">
        <f>'Input Técnico'!F145</f>
        <v>0</v>
      </c>
      <c r="F250" s="118">
        <f>'Input Técnico'!G145</f>
        <v>0</v>
      </c>
      <c r="G250" s="118">
        <f>'Input Técnico'!H145</f>
        <v>0</v>
      </c>
      <c r="H250" s="118">
        <f>'Input Técnico'!I145</f>
        <v>0</v>
      </c>
      <c r="I250" s="118">
        <f>'Input Técnico'!J145</f>
        <v>0</v>
      </c>
      <c r="J250" s="118">
        <f>'Input Técnico'!K145</f>
        <v>0</v>
      </c>
      <c r="K250" s="118">
        <f>'Input Técnico'!L145</f>
        <v>0</v>
      </c>
      <c r="L250" s="118">
        <f>'Input Técnico'!M145</f>
        <v>0</v>
      </c>
      <c r="M250" s="118">
        <f>'Input Técnico'!N145</f>
        <v>0</v>
      </c>
      <c r="N250" s="118">
        <f>'Input Técnico'!O145</f>
        <v>0</v>
      </c>
      <c r="O250" s="164"/>
    </row>
    <row r="251" spans="1:15" x14ac:dyDescent="0.25">
      <c r="A251" s="33"/>
      <c r="B251" s="75" t="s">
        <v>21</v>
      </c>
      <c r="C251" s="36"/>
      <c r="D251" s="36"/>
      <c r="E251" s="79"/>
      <c r="F251" s="79"/>
      <c r="G251" s="79"/>
      <c r="H251" s="79"/>
      <c r="I251" s="79"/>
      <c r="J251" s="79"/>
      <c r="K251" s="79"/>
      <c r="L251" s="79"/>
      <c r="M251" s="79"/>
      <c r="N251" s="79"/>
      <c r="O251" s="164"/>
    </row>
    <row r="252" spans="1:15" x14ac:dyDescent="0.25">
      <c r="A252" s="131" t="s">
        <v>233</v>
      </c>
      <c r="B252" s="114" t="s">
        <v>181</v>
      </c>
      <c r="C252" s="36" t="s">
        <v>43</v>
      </c>
      <c r="D252" s="365" t="str">
        <f>IF('Input Técnico'!$D$147="Selecione a tiopologia do sistema de recolha a que o equipamento se destina"," ",IF('Input Técnico'!$D$147="Via pública","Via pública",IF('Input Técnico'!$D$147="Porta-a-porta","Porta-a-porta",IF('Input Técnico'!$D$147="Reciclagem na origem","Reciclagem na origem"," "))))</f>
        <v xml:space="preserve"> </v>
      </c>
      <c r="E252" s="166"/>
      <c r="F252" s="166"/>
      <c r="G252" s="166"/>
      <c r="H252" s="166"/>
      <c r="I252" s="166"/>
      <c r="J252" s="166"/>
      <c r="K252" s="166"/>
      <c r="L252" s="166"/>
      <c r="M252" s="166"/>
      <c r="N252" s="166"/>
      <c r="O252" s="164"/>
    </row>
    <row r="253" spans="1:15" x14ac:dyDescent="0.25">
      <c r="A253" s="131" t="s">
        <v>234</v>
      </c>
      <c r="B253" s="114" t="s">
        <v>115</v>
      </c>
      <c r="C253" s="36" t="s">
        <v>14</v>
      </c>
      <c r="D253" s="366"/>
      <c r="E253" s="118">
        <f>'Input Técnico'!F149</f>
        <v>0</v>
      </c>
      <c r="F253" s="118">
        <f>'Input Técnico'!G149</f>
        <v>0</v>
      </c>
      <c r="G253" s="118">
        <f>'Input Técnico'!H149</f>
        <v>0</v>
      </c>
      <c r="H253" s="118">
        <f>'Input Técnico'!I149</f>
        <v>0</v>
      </c>
      <c r="I253" s="118">
        <f>'Input Técnico'!J149</f>
        <v>0</v>
      </c>
      <c r="J253" s="118">
        <f>'Input Técnico'!K149</f>
        <v>0</v>
      </c>
      <c r="K253" s="118">
        <f>'Input Técnico'!L149</f>
        <v>0</v>
      </c>
      <c r="L253" s="118">
        <f>'Input Técnico'!M149</f>
        <v>0</v>
      </c>
      <c r="M253" s="118">
        <f>'Input Técnico'!N149</f>
        <v>0</v>
      </c>
      <c r="N253" s="118">
        <f>'Input Técnico'!O149</f>
        <v>0</v>
      </c>
      <c r="O253" s="164"/>
    </row>
    <row r="254" spans="1:15" x14ac:dyDescent="0.25">
      <c r="A254" s="33"/>
      <c r="B254" s="75" t="s">
        <v>445</v>
      </c>
      <c r="C254" s="36"/>
      <c r="D254" s="36"/>
      <c r="E254" s="79"/>
      <c r="F254" s="79"/>
      <c r="G254" s="79"/>
      <c r="H254" s="79"/>
      <c r="I254" s="79"/>
      <c r="J254" s="79"/>
      <c r="K254" s="79"/>
      <c r="L254" s="79"/>
      <c r="M254" s="79"/>
      <c r="N254" s="79"/>
      <c r="O254" s="164"/>
    </row>
    <row r="255" spans="1:15" x14ac:dyDescent="0.25">
      <c r="A255" s="131" t="s">
        <v>233</v>
      </c>
      <c r="B255" s="114" t="s">
        <v>181</v>
      </c>
      <c r="C255" s="36" t="s">
        <v>43</v>
      </c>
      <c r="D255" s="365" t="str">
        <f>IF('Input Técnico'!$D$151="Selecione a tiopologia do sistema de recolha a que o equipamento se destina"," ",IF('Input Técnico'!$D$151="Via pública","Via pública",IF('Input Técnico'!$D$151="Porta-a-porta","Porta-a-porta",IF('Input Técnico'!$D$151="Reciclagem na origem","Reciclagem na origem"," "))))</f>
        <v xml:space="preserve"> </v>
      </c>
      <c r="E255" s="166"/>
      <c r="F255" s="166"/>
      <c r="G255" s="166"/>
      <c r="H255" s="166"/>
      <c r="I255" s="166"/>
      <c r="J255" s="166"/>
      <c r="K255" s="166"/>
      <c r="L255" s="166"/>
      <c r="M255" s="166"/>
      <c r="N255" s="166"/>
      <c r="O255" s="164"/>
    </row>
    <row r="256" spans="1:15" x14ac:dyDescent="0.25">
      <c r="A256" s="131" t="s">
        <v>234</v>
      </c>
      <c r="B256" s="114" t="s">
        <v>115</v>
      </c>
      <c r="C256" s="36" t="s">
        <v>45</v>
      </c>
      <c r="D256" s="366"/>
      <c r="E256" s="118">
        <f>'Input Técnico'!F153</f>
        <v>0</v>
      </c>
      <c r="F256" s="118">
        <f>'Input Técnico'!G153</f>
        <v>0</v>
      </c>
      <c r="G256" s="118">
        <f>'Input Técnico'!H153</f>
        <v>0</v>
      </c>
      <c r="H256" s="118">
        <f>'Input Técnico'!I153</f>
        <v>0</v>
      </c>
      <c r="I256" s="118">
        <f>'Input Técnico'!J153</f>
        <v>0</v>
      </c>
      <c r="J256" s="118">
        <f>'Input Técnico'!K153</f>
        <v>0</v>
      </c>
      <c r="K256" s="118">
        <f>'Input Técnico'!L153</f>
        <v>0</v>
      </c>
      <c r="L256" s="118">
        <f>'Input Técnico'!M153</f>
        <v>0</v>
      </c>
      <c r="M256" s="118">
        <f>'Input Técnico'!N153</f>
        <v>0</v>
      </c>
      <c r="N256" s="118">
        <f>'Input Técnico'!O153</f>
        <v>0</v>
      </c>
      <c r="O256" s="164"/>
    </row>
    <row r="257" spans="1:15" x14ac:dyDescent="0.25">
      <c r="A257" s="33"/>
      <c r="B257" s="75" t="s">
        <v>446</v>
      </c>
      <c r="C257" s="36"/>
      <c r="D257" s="36"/>
      <c r="E257" s="79"/>
      <c r="F257" s="79"/>
      <c r="G257" s="79"/>
      <c r="H257" s="79"/>
      <c r="I257" s="79"/>
      <c r="J257" s="79"/>
      <c r="K257" s="79"/>
      <c r="L257" s="79"/>
      <c r="M257" s="79"/>
      <c r="N257" s="79"/>
      <c r="O257" s="164"/>
    </row>
    <row r="258" spans="1:15" x14ac:dyDescent="0.25">
      <c r="A258" s="131" t="s">
        <v>233</v>
      </c>
      <c r="B258" s="114" t="s">
        <v>181</v>
      </c>
      <c r="C258" s="36" t="s">
        <v>43</v>
      </c>
      <c r="D258" s="365" t="str">
        <f>IF('Input Técnico'!$D$155="Selecione a tiopologia do sistema de recolha a que o equipamento se destina"," ",IF('Input Técnico'!$D$155="Via pública","Via pública",IF('Input Técnico'!$D$155="Porta-a-porta","Porta-a-porta",IF('Input Técnico'!$D$155="Reciclagem na origem","Reciclagem na origem"," "))))</f>
        <v xml:space="preserve"> </v>
      </c>
      <c r="E258" s="166"/>
      <c r="F258" s="166"/>
      <c r="G258" s="166"/>
      <c r="H258" s="166"/>
      <c r="I258" s="166"/>
      <c r="J258" s="166"/>
      <c r="K258" s="166"/>
      <c r="L258" s="166"/>
      <c r="M258" s="166"/>
      <c r="N258" s="166"/>
      <c r="O258" s="164"/>
    </row>
    <row r="259" spans="1:15" x14ac:dyDescent="0.25">
      <c r="A259" s="131" t="s">
        <v>234</v>
      </c>
      <c r="B259" s="114" t="s">
        <v>115</v>
      </c>
      <c r="C259" s="36" t="s">
        <v>45</v>
      </c>
      <c r="D259" s="366"/>
      <c r="E259" s="118">
        <f>'Input Técnico'!F157</f>
        <v>0</v>
      </c>
      <c r="F259" s="118">
        <f>'Input Técnico'!G157</f>
        <v>0</v>
      </c>
      <c r="G259" s="118">
        <f>'Input Técnico'!H157</f>
        <v>0</v>
      </c>
      <c r="H259" s="118">
        <f>'Input Técnico'!I157</f>
        <v>0</v>
      </c>
      <c r="I259" s="118">
        <f>'Input Técnico'!J157</f>
        <v>0</v>
      </c>
      <c r="J259" s="118">
        <f>'Input Técnico'!K157</f>
        <v>0</v>
      </c>
      <c r="K259" s="118">
        <f>'Input Técnico'!L157</f>
        <v>0</v>
      </c>
      <c r="L259" s="118">
        <f>'Input Técnico'!M157</f>
        <v>0</v>
      </c>
      <c r="M259" s="118">
        <f>'Input Técnico'!N157</f>
        <v>0</v>
      </c>
      <c r="N259" s="118">
        <f>'Input Técnico'!O157</f>
        <v>0</v>
      </c>
      <c r="O259" s="164"/>
    </row>
    <row r="260" spans="1:15" x14ac:dyDescent="0.25">
      <c r="A260" s="33"/>
      <c r="B260" s="75" t="s">
        <v>447</v>
      </c>
      <c r="C260" s="36"/>
      <c r="D260" s="36"/>
      <c r="E260" s="79"/>
      <c r="F260" s="79"/>
      <c r="G260" s="79"/>
      <c r="H260" s="79"/>
      <c r="I260" s="79"/>
      <c r="J260" s="79"/>
      <c r="K260" s="79"/>
      <c r="L260" s="79"/>
      <c r="M260" s="79"/>
      <c r="N260" s="79"/>
      <c r="O260" s="164"/>
    </row>
    <row r="261" spans="1:15" x14ac:dyDescent="0.25">
      <c r="A261" s="131" t="s">
        <v>233</v>
      </c>
      <c r="B261" s="114" t="s">
        <v>181</v>
      </c>
      <c r="C261" s="36" t="s">
        <v>43</v>
      </c>
      <c r="D261" s="365" t="str">
        <f>IF('Input Técnico'!$D$159="Selecione a tiopologia do sistema de recolha a que o equipamento se destina"," ",IF('Input Técnico'!$D$159="Via pública","Via pública",IF('Input Técnico'!$D$159="Porta-a-porta","Porta-a-porta",IF('Input Técnico'!$D$159="Reciclagem na origem","Reciclagem na origem"," "))))</f>
        <v xml:space="preserve"> </v>
      </c>
      <c r="E261" s="166"/>
      <c r="F261" s="166"/>
      <c r="G261" s="166"/>
      <c r="H261" s="166"/>
      <c r="I261" s="166"/>
      <c r="J261" s="166"/>
      <c r="K261" s="166"/>
      <c r="L261" s="166"/>
      <c r="M261" s="166"/>
      <c r="N261" s="166"/>
      <c r="O261" s="164"/>
    </row>
    <row r="262" spans="1:15" x14ac:dyDescent="0.25">
      <c r="A262" s="131" t="s">
        <v>234</v>
      </c>
      <c r="B262" s="114" t="s">
        <v>115</v>
      </c>
      <c r="C262" s="36" t="s">
        <v>45</v>
      </c>
      <c r="D262" s="366"/>
      <c r="E262" s="118">
        <f>'Input Técnico'!F161</f>
        <v>0</v>
      </c>
      <c r="F262" s="118">
        <f>'Input Técnico'!G161</f>
        <v>0</v>
      </c>
      <c r="G262" s="118">
        <f>'Input Técnico'!H161</f>
        <v>0</v>
      </c>
      <c r="H262" s="118">
        <f>'Input Técnico'!I161</f>
        <v>0</v>
      </c>
      <c r="I262" s="118">
        <f>'Input Técnico'!J161</f>
        <v>0</v>
      </c>
      <c r="J262" s="118">
        <f>'Input Técnico'!K161</f>
        <v>0</v>
      </c>
      <c r="K262" s="118">
        <f>'Input Técnico'!L161</f>
        <v>0</v>
      </c>
      <c r="L262" s="118">
        <f>'Input Técnico'!M161</f>
        <v>0</v>
      </c>
      <c r="M262" s="118">
        <f>'Input Técnico'!N161</f>
        <v>0</v>
      </c>
      <c r="N262" s="118">
        <f>'Input Técnico'!O161</f>
        <v>0</v>
      </c>
      <c r="O262" s="164"/>
    </row>
    <row r="263" spans="1:15" x14ac:dyDescent="0.25">
      <c r="A263" s="33"/>
      <c r="B263" s="75" t="s">
        <v>448</v>
      </c>
      <c r="C263" s="36"/>
      <c r="D263" s="36"/>
      <c r="E263" s="79"/>
      <c r="F263" s="79"/>
      <c r="G263" s="79"/>
      <c r="H263" s="79"/>
      <c r="I263" s="79"/>
      <c r="J263" s="79"/>
      <c r="K263" s="79"/>
      <c r="L263" s="79"/>
      <c r="M263" s="79"/>
      <c r="N263" s="79"/>
      <c r="O263" s="164"/>
    </row>
    <row r="264" spans="1:15" x14ac:dyDescent="0.25">
      <c r="A264" s="131" t="s">
        <v>233</v>
      </c>
      <c r="B264" s="114" t="s">
        <v>181</v>
      </c>
      <c r="C264" s="36" t="s">
        <v>43</v>
      </c>
      <c r="D264" s="365" t="str">
        <f>IF('Input Técnico'!$D$163="Selecione a tiopologia do sistema de recolha a que o equipamento se destina"," ",IF('Input Técnico'!$D$163="Via pública","Via pública",IF('Input Técnico'!$D$163="Porta-a-porta","Porta-a-porta",IF('Input Técnico'!$D$163="Reciclagem na origem","Reciclagem na origem"," "))))</f>
        <v xml:space="preserve"> </v>
      </c>
      <c r="E264" s="166"/>
      <c r="F264" s="166"/>
      <c r="G264" s="166"/>
      <c r="H264" s="166"/>
      <c r="I264" s="166"/>
      <c r="J264" s="166"/>
      <c r="K264" s="166"/>
      <c r="L264" s="166"/>
      <c r="M264" s="166"/>
      <c r="N264" s="166"/>
      <c r="O264" s="164"/>
    </row>
    <row r="265" spans="1:15" x14ac:dyDescent="0.25">
      <c r="A265" s="131" t="s">
        <v>234</v>
      </c>
      <c r="B265" s="114" t="s">
        <v>115</v>
      </c>
      <c r="C265" s="36" t="s">
        <v>45</v>
      </c>
      <c r="D265" s="366"/>
      <c r="E265" s="118">
        <f>'Input Técnico'!F165</f>
        <v>0</v>
      </c>
      <c r="F265" s="118">
        <f>'Input Técnico'!G165</f>
        <v>0</v>
      </c>
      <c r="G265" s="118">
        <f>'Input Técnico'!H165</f>
        <v>0</v>
      </c>
      <c r="H265" s="118">
        <f>'Input Técnico'!I165</f>
        <v>0</v>
      </c>
      <c r="I265" s="118">
        <f>'Input Técnico'!J165</f>
        <v>0</v>
      </c>
      <c r="J265" s="118">
        <f>'Input Técnico'!K165</f>
        <v>0</v>
      </c>
      <c r="K265" s="118">
        <f>'Input Técnico'!L165</f>
        <v>0</v>
      </c>
      <c r="L265" s="118">
        <f>'Input Técnico'!M165</f>
        <v>0</v>
      </c>
      <c r="M265" s="118">
        <f>'Input Técnico'!N165</f>
        <v>0</v>
      </c>
      <c r="N265" s="118">
        <f>'Input Técnico'!O165</f>
        <v>0</v>
      </c>
      <c r="O265" s="164"/>
    </row>
    <row r="266" spans="1:15" x14ac:dyDescent="0.25">
      <c r="A266" s="33"/>
      <c r="B266" s="75" t="s">
        <v>449</v>
      </c>
      <c r="C266" s="36"/>
      <c r="D266" s="36"/>
      <c r="E266" s="79"/>
      <c r="F266" s="79"/>
      <c r="G266" s="79"/>
      <c r="H266" s="79"/>
      <c r="I266" s="79"/>
      <c r="J266" s="79"/>
      <c r="K266" s="79"/>
      <c r="L266" s="79"/>
      <c r="M266" s="79"/>
      <c r="N266" s="79"/>
      <c r="O266" s="164"/>
    </row>
    <row r="267" spans="1:15" x14ac:dyDescent="0.25">
      <c r="A267" s="131" t="s">
        <v>233</v>
      </c>
      <c r="B267" s="114" t="s">
        <v>181</v>
      </c>
      <c r="C267" s="36" t="s">
        <v>43</v>
      </c>
      <c r="D267" s="365" t="str">
        <f>IF('Input Técnico'!$D$167="Selecione a tiopologia do sistema de recolha a que o equipamento se destina"," ",IF('Input Técnico'!$D$167="Via pública","Via pública",IF('Input Técnico'!$D$167="Porta-a-porta","Porta-a-porta",IF('Input Técnico'!$D$167="Reciclagem na origem","Reciclagem na origem"," "))))</f>
        <v xml:space="preserve"> </v>
      </c>
      <c r="E267" s="166"/>
      <c r="F267" s="166"/>
      <c r="G267" s="166"/>
      <c r="H267" s="166"/>
      <c r="I267" s="166"/>
      <c r="J267" s="166"/>
      <c r="K267" s="166"/>
      <c r="L267" s="166"/>
      <c r="M267" s="166"/>
      <c r="N267" s="166"/>
      <c r="O267" s="164"/>
    </row>
    <row r="268" spans="1:15" x14ac:dyDescent="0.25">
      <c r="A268" s="131" t="s">
        <v>234</v>
      </c>
      <c r="B268" s="114" t="s">
        <v>115</v>
      </c>
      <c r="C268" s="36" t="s">
        <v>45</v>
      </c>
      <c r="D268" s="366"/>
      <c r="E268" s="118">
        <f>'Input Técnico'!F169</f>
        <v>0</v>
      </c>
      <c r="F268" s="118">
        <f>'Input Técnico'!G169</f>
        <v>0</v>
      </c>
      <c r="G268" s="118">
        <f>'Input Técnico'!H169</f>
        <v>0</v>
      </c>
      <c r="H268" s="118">
        <f>'Input Técnico'!I169</f>
        <v>0</v>
      </c>
      <c r="I268" s="118">
        <f>'Input Técnico'!J169</f>
        <v>0</v>
      </c>
      <c r="J268" s="118">
        <f>'Input Técnico'!K169</f>
        <v>0</v>
      </c>
      <c r="K268" s="118">
        <f>'Input Técnico'!L169</f>
        <v>0</v>
      </c>
      <c r="L268" s="118">
        <f>'Input Técnico'!M169</f>
        <v>0</v>
      </c>
      <c r="M268" s="118">
        <f>'Input Técnico'!N169</f>
        <v>0</v>
      </c>
      <c r="N268" s="118">
        <f>'Input Técnico'!O169</f>
        <v>0</v>
      </c>
      <c r="O268" s="164"/>
    </row>
    <row r="269" spans="1:15" x14ac:dyDescent="0.25">
      <c r="A269" s="227" t="s">
        <v>600</v>
      </c>
      <c r="B269" s="73" t="s">
        <v>78</v>
      </c>
      <c r="C269" s="80"/>
      <c r="D269" s="80"/>
      <c r="E269" s="79"/>
      <c r="F269" s="79"/>
      <c r="G269" s="79"/>
      <c r="H269" s="79"/>
      <c r="I269" s="79"/>
      <c r="J269" s="79"/>
      <c r="K269" s="79"/>
      <c r="L269" s="79"/>
      <c r="M269" s="79"/>
      <c r="N269" s="79"/>
      <c r="O269" s="164"/>
    </row>
    <row r="270" spans="1:15" x14ac:dyDescent="0.25">
      <c r="A270" s="33"/>
      <c r="B270" s="75" t="s">
        <v>22</v>
      </c>
      <c r="C270" s="36"/>
      <c r="D270" s="36"/>
      <c r="E270" s="79"/>
      <c r="F270" s="79"/>
      <c r="G270" s="79"/>
      <c r="H270" s="79"/>
      <c r="I270" s="79"/>
      <c r="J270" s="79"/>
      <c r="K270" s="79"/>
      <c r="L270" s="79"/>
      <c r="M270" s="79"/>
      <c r="N270" s="79"/>
      <c r="O270" s="164"/>
    </row>
    <row r="271" spans="1:15" x14ac:dyDescent="0.25">
      <c r="A271" s="131" t="s">
        <v>233</v>
      </c>
      <c r="B271" s="114" t="s">
        <v>181</v>
      </c>
      <c r="C271" s="36" t="s">
        <v>43</v>
      </c>
      <c r="D271" s="363" t="str">
        <f>IF('Input Técnico'!$D$180="Selecione a tiopologia do sistema de recolha a que o equipamento se destina"," ",IF('Input Técnico'!$D$180="Via pública","Via pública",IF('Input Técnico'!$D$180="Porta-a-porta","Porta-a-porta"," ")))</f>
        <v xml:space="preserve"> </v>
      </c>
      <c r="E271" s="280"/>
      <c r="F271" s="280"/>
      <c r="G271" s="280"/>
      <c r="H271" s="280"/>
      <c r="I271" s="280"/>
      <c r="J271" s="280"/>
      <c r="K271" s="280"/>
      <c r="L271" s="280"/>
      <c r="M271" s="280"/>
      <c r="N271" s="280"/>
      <c r="O271" s="164"/>
    </row>
    <row r="272" spans="1:15" x14ac:dyDescent="0.25">
      <c r="A272" s="131" t="s">
        <v>234</v>
      </c>
      <c r="B272" s="114" t="s">
        <v>115</v>
      </c>
      <c r="C272" s="36" t="s">
        <v>14</v>
      </c>
      <c r="D272" s="364"/>
      <c r="E272" s="74">
        <f>'Input Técnico'!F182</f>
        <v>0</v>
      </c>
      <c r="F272" s="74">
        <f>'Input Técnico'!G182</f>
        <v>0</v>
      </c>
      <c r="G272" s="74">
        <f>'Input Técnico'!H182</f>
        <v>0</v>
      </c>
      <c r="H272" s="74">
        <f>'Input Técnico'!I182</f>
        <v>0</v>
      </c>
      <c r="I272" s="74">
        <f>'Input Técnico'!J182</f>
        <v>0</v>
      </c>
      <c r="J272" s="74">
        <f>'Input Técnico'!K182</f>
        <v>0</v>
      </c>
      <c r="K272" s="74">
        <f>'Input Técnico'!L182</f>
        <v>0</v>
      </c>
      <c r="L272" s="74">
        <f>'Input Técnico'!M182</f>
        <v>0</v>
      </c>
      <c r="M272" s="74">
        <f>'Input Técnico'!N182</f>
        <v>0</v>
      </c>
      <c r="N272" s="74">
        <f>'Input Técnico'!O182</f>
        <v>0</v>
      </c>
      <c r="O272" s="164"/>
    </row>
    <row r="273" spans="1:15" x14ac:dyDescent="0.25">
      <c r="A273" s="33"/>
      <c r="B273" s="75" t="s">
        <v>24</v>
      </c>
      <c r="C273" s="36"/>
      <c r="D273" s="36"/>
      <c r="E273" s="79"/>
      <c r="F273" s="79"/>
      <c r="G273" s="79"/>
      <c r="H273" s="79"/>
      <c r="I273" s="79"/>
      <c r="J273" s="79"/>
      <c r="K273" s="79"/>
      <c r="L273" s="79"/>
      <c r="M273" s="79"/>
      <c r="N273" s="79"/>
      <c r="O273" s="164"/>
    </row>
    <row r="274" spans="1:15" x14ac:dyDescent="0.25">
      <c r="A274" s="131" t="s">
        <v>233</v>
      </c>
      <c r="B274" s="114" t="s">
        <v>181</v>
      </c>
      <c r="C274" s="36" t="s">
        <v>43</v>
      </c>
      <c r="D274" s="363" t="str">
        <f>IF('Input Técnico'!$D$184="Selecione a tiopologia do sistema de recolha a que o equipamento se destina"," ",IF('Input Técnico'!$D$184="Via pública","Via pública",IF('Input Técnico'!$D$184="Porta-a-porta","Porta-a-porta"," ")))</f>
        <v xml:space="preserve"> </v>
      </c>
      <c r="E274" s="280"/>
      <c r="F274" s="280"/>
      <c r="G274" s="280"/>
      <c r="H274" s="280"/>
      <c r="I274" s="280"/>
      <c r="J274" s="280"/>
      <c r="K274" s="280"/>
      <c r="L274" s="280"/>
      <c r="M274" s="280"/>
      <c r="N274" s="280"/>
      <c r="O274" s="164"/>
    </row>
    <row r="275" spans="1:15" x14ac:dyDescent="0.25">
      <c r="A275" s="131" t="s">
        <v>234</v>
      </c>
      <c r="B275" s="114" t="s">
        <v>115</v>
      </c>
      <c r="C275" s="36" t="s">
        <v>14</v>
      </c>
      <c r="D275" s="364"/>
      <c r="E275" s="74">
        <f>'Input Técnico'!F186</f>
        <v>0</v>
      </c>
      <c r="F275" s="74">
        <f>'Input Técnico'!G186</f>
        <v>0</v>
      </c>
      <c r="G275" s="74">
        <f>'Input Técnico'!H186</f>
        <v>0</v>
      </c>
      <c r="H275" s="74">
        <f>'Input Técnico'!I186</f>
        <v>0</v>
      </c>
      <c r="I275" s="74">
        <f>'Input Técnico'!J186</f>
        <v>0</v>
      </c>
      <c r="J275" s="74">
        <f>'Input Técnico'!K186</f>
        <v>0</v>
      </c>
      <c r="K275" s="74">
        <f>'Input Técnico'!L186</f>
        <v>0</v>
      </c>
      <c r="L275" s="74">
        <f>'Input Técnico'!M186</f>
        <v>0</v>
      </c>
      <c r="M275" s="74">
        <f>'Input Técnico'!N186</f>
        <v>0</v>
      </c>
      <c r="N275" s="74">
        <f>'Input Técnico'!O186</f>
        <v>0</v>
      </c>
      <c r="O275" s="164"/>
    </row>
    <row r="276" spans="1:15" x14ac:dyDescent="0.25">
      <c r="A276" s="33"/>
      <c r="B276" s="75" t="s">
        <v>25</v>
      </c>
      <c r="C276" s="36"/>
      <c r="D276" s="36"/>
      <c r="E276" s="79"/>
      <c r="F276" s="79"/>
      <c r="G276" s="79"/>
      <c r="H276" s="79"/>
      <c r="I276" s="79"/>
      <c r="J276" s="79"/>
      <c r="K276" s="79"/>
      <c r="L276" s="79"/>
      <c r="M276" s="79"/>
      <c r="N276" s="79"/>
      <c r="O276" s="164"/>
    </row>
    <row r="277" spans="1:15" x14ac:dyDescent="0.25">
      <c r="A277" s="131" t="s">
        <v>233</v>
      </c>
      <c r="B277" s="114" t="s">
        <v>181</v>
      </c>
      <c r="C277" s="36" t="s">
        <v>43</v>
      </c>
      <c r="D277" s="363" t="str">
        <f>IF('Input Técnico'!$D$188="Selecione a tiopologia do sistema de recolha a que o equipamento se destina"," ",IF('Input Técnico'!$D$188="Via pública","Via pública",IF('Input Técnico'!$D$188="Porta-a-porta","Porta-a-porta"," ")))</f>
        <v xml:space="preserve"> </v>
      </c>
      <c r="E277" s="280"/>
      <c r="F277" s="280"/>
      <c r="G277" s="280"/>
      <c r="H277" s="280"/>
      <c r="I277" s="280"/>
      <c r="J277" s="280"/>
      <c r="K277" s="280"/>
      <c r="L277" s="280"/>
      <c r="M277" s="280"/>
      <c r="N277" s="280"/>
      <c r="O277" s="164"/>
    </row>
    <row r="278" spans="1:15" x14ac:dyDescent="0.25">
      <c r="A278" s="131" t="s">
        <v>234</v>
      </c>
      <c r="B278" s="114" t="s">
        <v>115</v>
      </c>
      <c r="C278" s="36" t="s">
        <v>14</v>
      </c>
      <c r="D278" s="364"/>
      <c r="E278" s="74">
        <f>'Input Técnico'!F190</f>
        <v>0</v>
      </c>
      <c r="F278" s="74">
        <f>'Input Técnico'!G190</f>
        <v>0</v>
      </c>
      <c r="G278" s="74">
        <f>'Input Técnico'!H190</f>
        <v>0</v>
      </c>
      <c r="H278" s="74">
        <f>'Input Técnico'!I190</f>
        <v>0</v>
      </c>
      <c r="I278" s="74">
        <f>'Input Técnico'!J190</f>
        <v>0</v>
      </c>
      <c r="J278" s="74">
        <f>'Input Técnico'!K190</f>
        <v>0</v>
      </c>
      <c r="K278" s="74">
        <f>'Input Técnico'!L190</f>
        <v>0</v>
      </c>
      <c r="L278" s="74">
        <f>'Input Técnico'!M190</f>
        <v>0</v>
      </c>
      <c r="M278" s="74">
        <f>'Input Técnico'!N190</f>
        <v>0</v>
      </c>
      <c r="N278" s="74">
        <f>'Input Técnico'!O190</f>
        <v>0</v>
      </c>
      <c r="O278" s="164"/>
    </row>
    <row r="279" spans="1:15" x14ac:dyDescent="0.25">
      <c r="A279" s="33"/>
      <c r="B279" s="75" t="s">
        <v>26</v>
      </c>
      <c r="C279" s="36"/>
      <c r="D279" s="36"/>
      <c r="E279" s="79"/>
      <c r="F279" s="79"/>
      <c r="G279" s="79"/>
      <c r="H279" s="79"/>
      <c r="I279" s="79"/>
      <c r="J279" s="79"/>
      <c r="K279" s="79"/>
      <c r="L279" s="79"/>
      <c r="M279" s="79"/>
      <c r="N279" s="79"/>
      <c r="O279" s="164"/>
    </row>
    <row r="280" spans="1:15" x14ac:dyDescent="0.25">
      <c r="A280" s="131" t="s">
        <v>233</v>
      </c>
      <c r="B280" s="114" t="s">
        <v>181</v>
      </c>
      <c r="C280" s="36" t="s">
        <v>43</v>
      </c>
      <c r="D280" s="363" t="str">
        <f>IF('Input Técnico'!$D$192="Selecione a tiopologia do sistema de recolha a que o equipamento se destina"," ",IF('Input Técnico'!$D$192="Via pública","Via pública",IF('Input Técnico'!$D$192="Porta-a-porta","Porta-a-porta"," ")))</f>
        <v xml:space="preserve"> </v>
      </c>
      <c r="E280" s="280"/>
      <c r="F280" s="280"/>
      <c r="G280" s="280"/>
      <c r="H280" s="280"/>
      <c r="I280" s="280"/>
      <c r="J280" s="280"/>
      <c r="K280" s="280"/>
      <c r="L280" s="280"/>
      <c r="M280" s="280"/>
      <c r="N280" s="280"/>
      <c r="O280" s="164"/>
    </row>
    <row r="281" spans="1:15" x14ac:dyDescent="0.25">
      <c r="A281" s="131" t="s">
        <v>234</v>
      </c>
      <c r="B281" s="114" t="s">
        <v>115</v>
      </c>
      <c r="C281" s="36" t="s">
        <v>14</v>
      </c>
      <c r="D281" s="364"/>
      <c r="E281" s="74">
        <f>'Input Técnico'!F194</f>
        <v>0</v>
      </c>
      <c r="F281" s="74">
        <f>'Input Técnico'!G194</f>
        <v>0</v>
      </c>
      <c r="G281" s="74">
        <f>'Input Técnico'!H194</f>
        <v>0</v>
      </c>
      <c r="H281" s="74">
        <f>'Input Técnico'!I194</f>
        <v>0</v>
      </c>
      <c r="I281" s="74">
        <f>'Input Técnico'!J194</f>
        <v>0</v>
      </c>
      <c r="J281" s="74">
        <f>'Input Técnico'!K194</f>
        <v>0</v>
      </c>
      <c r="K281" s="74">
        <f>'Input Técnico'!L194</f>
        <v>0</v>
      </c>
      <c r="L281" s="74">
        <f>'Input Técnico'!M194</f>
        <v>0</v>
      </c>
      <c r="M281" s="74">
        <f>'Input Técnico'!N194</f>
        <v>0</v>
      </c>
      <c r="N281" s="74">
        <f>'Input Técnico'!O194</f>
        <v>0</v>
      </c>
      <c r="O281" s="164"/>
    </row>
    <row r="282" spans="1:15" x14ac:dyDescent="0.25">
      <c r="A282" s="33"/>
      <c r="B282" s="75" t="s">
        <v>27</v>
      </c>
      <c r="C282" s="36"/>
      <c r="D282" s="36"/>
      <c r="E282" s="79"/>
      <c r="F282" s="79"/>
      <c r="G282" s="79"/>
      <c r="H282" s="79"/>
      <c r="I282" s="79"/>
      <c r="J282" s="79"/>
      <c r="K282" s="79"/>
      <c r="L282" s="79"/>
      <c r="M282" s="79"/>
      <c r="N282" s="79"/>
      <c r="O282" s="164"/>
    </row>
    <row r="283" spans="1:15" x14ac:dyDescent="0.25">
      <c r="A283" s="131" t="s">
        <v>233</v>
      </c>
      <c r="B283" s="114" t="s">
        <v>181</v>
      </c>
      <c r="C283" s="36" t="s">
        <v>43</v>
      </c>
      <c r="D283" s="363" t="str">
        <f>IF('Input Técnico'!$D$196="Selecione a tiopologia do sistema de recolha a que o equipamento se destina"," ",IF('Input Técnico'!$D$196="Via pública","Via pública",IF('Input Técnico'!$D$196="Porta-a-porta","Porta-a-porta"," ")))</f>
        <v xml:space="preserve"> </v>
      </c>
      <c r="E283" s="280"/>
      <c r="F283" s="280"/>
      <c r="G283" s="280"/>
      <c r="H283" s="280"/>
      <c r="I283" s="280"/>
      <c r="J283" s="280"/>
      <c r="K283" s="280"/>
      <c r="L283" s="280"/>
      <c r="M283" s="280"/>
      <c r="N283" s="280"/>
      <c r="O283" s="164"/>
    </row>
    <row r="284" spans="1:15" x14ac:dyDescent="0.25">
      <c r="A284" s="131" t="s">
        <v>234</v>
      </c>
      <c r="B284" s="114" t="s">
        <v>115</v>
      </c>
      <c r="C284" s="36" t="s">
        <v>14</v>
      </c>
      <c r="D284" s="364"/>
      <c r="E284" s="74">
        <f>'Input Técnico'!F198</f>
        <v>0</v>
      </c>
      <c r="F284" s="74">
        <f>'Input Técnico'!G198</f>
        <v>0</v>
      </c>
      <c r="G284" s="74">
        <f>'Input Técnico'!H198</f>
        <v>0</v>
      </c>
      <c r="H284" s="74">
        <f>'Input Técnico'!I198</f>
        <v>0</v>
      </c>
      <c r="I284" s="74">
        <f>'Input Técnico'!J198</f>
        <v>0</v>
      </c>
      <c r="J284" s="74">
        <f>'Input Técnico'!K198</f>
        <v>0</v>
      </c>
      <c r="K284" s="74">
        <f>'Input Técnico'!L198</f>
        <v>0</v>
      </c>
      <c r="L284" s="74">
        <f>'Input Técnico'!M198</f>
        <v>0</v>
      </c>
      <c r="M284" s="74">
        <f>'Input Técnico'!N198</f>
        <v>0</v>
      </c>
      <c r="N284" s="74">
        <f>'Input Técnico'!O198</f>
        <v>0</v>
      </c>
      <c r="O284" s="164"/>
    </row>
    <row r="285" spans="1:15" x14ac:dyDescent="0.25">
      <c r="A285" s="33"/>
      <c r="B285" s="75" t="s">
        <v>450</v>
      </c>
      <c r="C285" s="36"/>
      <c r="D285" s="36"/>
      <c r="E285" s="79"/>
      <c r="F285" s="79"/>
      <c r="G285" s="79"/>
      <c r="H285" s="79"/>
      <c r="I285" s="79"/>
      <c r="J285" s="79"/>
      <c r="K285" s="79"/>
      <c r="L285" s="79"/>
      <c r="M285" s="79"/>
      <c r="N285" s="79"/>
      <c r="O285" s="164"/>
    </row>
    <row r="286" spans="1:15" x14ac:dyDescent="0.25">
      <c r="A286" s="131" t="s">
        <v>233</v>
      </c>
      <c r="B286" s="114" t="s">
        <v>181</v>
      </c>
      <c r="C286" s="36" t="s">
        <v>43</v>
      </c>
      <c r="D286" s="363" t="str">
        <f>IF('Input Técnico'!$D$200="Selecione a tiopologia do sistema de recolha a que o equipamento se destina"," ",IF('Input Técnico'!$D$200="Via pública","Via pública",IF('Input Técnico'!$D$200="Porta-a-porta","Porta-a-porta"," ")))</f>
        <v xml:space="preserve"> </v>
      </c>
      <c r="E286" s="280"/>
      <c r="F286" s="280"/>
      <c r="G286" s="280"/>
      <c r="H286" s="280"/>
      <c r="I286" s="280"/>
      <c r="J286" s="280"/>
      <c r="K286" s="280"/>
      <c r="L286" s="280"/>
      <c r="M286" s="280"/>
      <c r="N286" s="280"/>
      <c r="O286" s="164"/>
    </row>
    <row r="287" spans="1:15" x14ac:dyDescent="0.25">
      <c r="A287" s="131" t="s">
        <v>234</v>
      </c>
      <c r="B287" s="114" t="s">
        <v>115</v>
      </c>
      <c r="C287" s="36" t="s">
        <v>14</v>
      </c>
      <c r="D287" s="364"/>
      <c r="E287" s="74">
        <f>'Input Técnico'!F202</f>
        <v>0</v>
      </c>
      <c r="F287" s="74">
        <f>'Input Técnico'!G202</f>
        <v>0</v>
      </c>
      <c r="G287" s="74">
        <f>'Input Técnico'!H202</f>
        <v>0</v>
      </c>
      <c r="H287" s="74">
        <f>'Input Técnico'!I202</f>
        <v>0</v>
      </c>
      <c r="I287" s="74">
        <f>'Input Técnico'!J202</f>
        <v>0</v>
      </c>
      <c r="J287" s="74">
        <f>'Input Técnico'!K202</f>
        <v>0</v>
      </c>
      <c r="K287" s="74">
        <f>'Input Técnico'!L202</f>
        <v>0</v>
      </c>
      <c r="L287" s="74">
        <f>'Input Técnico'!M202</f>
        <v>0</v>
      </c>
      <c r="M287" s="74">
        <f>'Input Técnico'!N202</f>
        <v>0</v>
      </c>
      <c r="N287" s="74">
        <f>'Input Técnico'!O202</f>
        <v>0</v>
      </c>
      <c r="O287" s="164"/>
    </row>
    <row r="288" spans="1:15" x14ac:dyDescent="0.25">
      <c r="A288" s="33"/>
      <c r="B288" s="75" t="s">
        <v>451</v>
      </c>
      <c r="C288" s="36"/>
      <c r="D288" s="36"/>
      <c r="E288" s="79"/>
      <c r="F288" s="79"/>
      <c r="G288" s="79"/>
      <c r="H288" s="79"/>
      <c r="I288" s="79"/>
      <c r="J288" s="79"/>
      <c r="K288" s="79"/>
      <c r="L288" s="79"/>
      <c r="M288" s="79"/>
      <c r="N288" s="79"/>
      <c r="O288" s="164"/>
    </row>
    <row r="289" spans="1:15" x14ac:dyDescent="0.25">
      <c r="A289" s="131" t="s">
        <v>233</v>
      </c>
      <c r="B289" s="114" t="s">
        <v>181</v>
      </c>
      <c r="C289" s="36" t="s">
        <v>43</v>
      </c>
      <c r="D289" s="363" t="str">
        <f>IF('Input Técnico'!$D$204="Selecione a tiopologia do sistema de recolha a que o equipamento se destina"," ",IF('Input Técnico'!$D$204="Via pública","Via pública",IF('Input Técnico'!$D$204="Porta-a-porta","Porta-a-porta"," ")))</f>
        <v xml:space="preserve"> </v>
      </c>
      <c r="E289" s="280"/>
      <c r="F289" s="280"/>
      <c r="G289" s="280"/>
      <c r="H289" s="280"/>
      <c r="I289" s="280"/>
      <c r="J289" s="280"/>
      <c r="K289" s="280"/>
      <c r="L289" s="280"/>
      <c r="M289" s="280"/>
      <c r="N289" s="280"/>
      <c r="O289" s="164"/>
    </row>
    <row r="290" spans="1:15" x14ac:dyDescent="0.25">
      <c r="A290" s="131" t="s">
        <v>234</v>
      </c>
      <c r="B290" s="114" t="s">
        <v>115</v>
      </c>
      <c r="C290" s="36" t="s">
        <v>14</v>
      </c>
      <c r="D290" s="364"/>
      <c r="E290" s="74">
        <f>'Input Técnico'!F206</f>
        <v>0</v>
      </c>
      <c r="F290" s="74">
        <f>'Input Técnico'!G206</f>
        <v>0</v>
      </c>
      <c r="G290" s="74">
        <f>'Input Técnico'!H206</f>
        <v>0</v>
      </c>
      <c r="H290" s="74">
        <f>'Input Técnico'!I206</f>
        <v>0</v>
      </c>
      <c r="I290" s="74">
        <f>'Input Técnico'!J206</f>
        <v>0</v>
      </c>
      <c r="J290" s="74">
        <f>'Input Técnico'!K206</f>
        <v>0</v>
      </c>
      <c r="K290" s="74">
        <f>'Input Técnico'!L206</f>
        <v>0</v>
      </c>
      <c r="L290" s="74">
        <f>'Input Técnico'!M206</f>
        <v>0</v>
      </c>
      <c r="M290" s="74">
        <f>'Input Técnico'!N206</f>
        <v>0</v>
      </c>
      <c r="N290" s="74">
        <f>'Input Técnico'!O206</f>
        <v>0</v>
      </c>
      <c r="O290" s="164"/>
    </row>
    <row r="291" spans="1:15" x14ac:dyDescent="0.25">
      <c r="A291" s="33"/>
      <c r="B291" s="75" t="s">
        <v>500</v>
      </c>
      <c r="C291" s="36"/>
      <c r="D291" s="36"/>
      <c r="E291" s="79"/>
      <c r="F291" s="79"/>
      <c r="G291" s="79"/>
      <c r="H291" s="79"/>
      <c r="I291" s="79"/>
      <c r="J291" s="79"/>
      <c r="K291" s="79"/>
      <c r="L291" s="79"/>
      <c r="M291" s="79"/>
      <c r="N291" s="79"/>
      <c r="O291" s="164"/>
    </row>
    <row r="292" spans="1:15" x14ac:dyDescent="0.25">
      <c r="A292" s="131" t="s">
        <v>233</v>
      </c>
      <c r="B292" s="114" t="s">
        <v>181</v>
      </c>
      <c r="C292" s="36" t="s">
        <v>43</v>
      </c>
      <c r="D292" s="363" t="str">
        <f>IF('Input Técnico'!$D$208="Selecione a tiopologia do sistema de recolha a que o equipamento se destina"," ",IF('Input Técnico'!$D$208="Via pública","Via pública",IF('Input Técnico'!$D$208="Porta-a-porta","Porta-a-porta"," ")))</f>
        <v xml:space="preserve"> </v>
      </c>
      <c r="E292" s="280"/>
      <c r="F292" s="280"/>
      <c r="G292" s="280"/>
      <c r="H292" s="280"/>
      <c r="I292" s="280"/>
      <c r="J292" s="280"/>
      <c r="K292" s="280"/>
      <c r="L292" s="280"/>
      <c r="M292" s="280"/>
      <c r="N292" s="280"/>
      <c r="O292" s="164"/>
    </row>
    <row r="293" spans="1:15" x14ac:dyDescent="0.25">
      <c r="A293" s="131" t="s">
        <v>234</v>
      </c>
      <c r="B293" s="114" t="s">
        <v>115</v>
      </c>
      <c r="C293" s="36" t="s">
        <v>14</v>
      </c>
      <c r="D293" s="364"/>
      <c r="E293" s="74">
        <f>'Input Técnico'!F210</f>
        <v>0</v>
      </c>
      <c r="F293" s="74">
        <f>'Input Técnico'!G210</f>
        <v>0</v>
      </c>
      <c r="G293" s="74">
        <f>'Input Técnico'!H210</f>
        <v>0</v>
      </c>
      <c r="H293" s="74">
        <f>'Input Técnico'!I210</f>
        <v>0</v>
      </c>
      <c r="I293" s="74">
        <f>'Input Técnico'!J210</f>
        <v>0</v>
      </c>
      <c r="J293" s="74">
        <f>'Input Técnico'!K210</f>
        <v>0</v>
      </c>
      <c r="K293" s="74">
        <f>'Input Técnico'!L210</f>
        <v>0</v>
      </c>
      <c r="L293" s="74">
        <f>'Input Técnico'!M210</f>
        <v>0</v>
      </c>
      <c r="M293" s="74">
        <f>'Input Técnico'!N210</f>
        <v>0</v>
      </c>
      <c r="N293" s="74">
        <f>'Input Técnico'!O210</f>
        <v>0</v>
      </c>
      <c r="O293" s="164"/>
    </row>
    <row r="294" spans="1:15" x14ac:dyDescent="0.25">
      <c r="A294" s="33"/>
      <c r="B294" s="75" t="s">
        <v>511</v>
      </c>
      <c r="C294" s="36"/>
      <c r="D294" s="36"/>
      <c r="E294" s="79"/>
      <c r="F294" s="79"/>
      <c r="G294" s="79"/>
      <c r="H294" s="79"/>
      <c r="I294" s="79"/>
      <c r="J294" s="79"/>
      <c r="K294" s="79"/>
      <c r="L294" s="79"/>
      <c r="M294" s="79"/>
      <c r="N294" s="79"/>
      <c r="O294" s="164"/>
    </row>
    <row r="295" spans="1:15" x14ac:dyDescent="0.25">
      <c r="A295" s="131" t="s">
        <v>233</v>
      </c>
      <c r="B295" s="114" t="s">
        <v>181</v>
      </c>
      <c r="C295" s="36" t="s">
        <v>43</v>
      </c>
      <c r="D295" s="36"/>
      <c r="E295" s="280"/>
      <c r="F295" s="280"/>
      <c r="G295" s="280"/>
      <c r="H295" s="280"/>
      <c r="I295" s="280"/>
      <c r="J295" s="280"/>
      <c r="K295" s="280"/>
      <c r="L295" s="280"/>
      <c r="M295" s="280"/>
      <c r="N295" s="280"/>
      <c r="O295" s="164"/>
    </row>
    <row r="296" spans="1:15" x14ac:dyDescent="0.25">
      <c r="A296" s="131" t="s">
        <v>234</v>
      </c>
      <c r="B296" s="114" t="s">
        <v>115</v>
      </c>
      <c r="C296" s="36" t="s">
        <v>14</v>
      </c>
      <c r="D296" s="36"/>
      <c r="E296" s="293"/>
      <c r="F296" s="293"/>
      <c r="G296" s="293"/>
      <c r="H296" s="293"/>
      <c r="I296" s="293"/>
      <c r="J296" s="293"/>
      <c r="K296" s="293"/>
      <c r="L296" s="293"/>
      <c r="M296" s="293"/>
      <c r="N296" s="293"/>
      <c r="O296" s="164"/>
    </row>
    <row r="297" spans="1:15" x14ac:dyDescent="0.25">
      <c r="A297" s="33"/>
      <c r="B297" s="75" t="s">
        <v>512</v>
      </c>
      <c r="C297" s="36"/>
      <c r="D297" s="36"/>
      <c r="E297" s="79"/>
      <c r="F297" s="79"/>
      <c r="G297" s="79"/>
      <c r="H297" s="79"/>
      <c r="I297" s="79"/>
      <c r="J297" s="79"/>
      <c r="K297" s="79"/>
      <c r="L297" s="79"/>
      <c r="M297" s="79"/>
      <c r="N297" s="79"/>
      <c r="O297" s="164"/>
    </row>
    <row r="298" spans="1:15" x14ac:dyDescent="0.25">
      <c r="A298" s="131" t="s">
        <v>233</v>
      </c>
      <c r="B298" s="114" t="s">
        <v>181</v>
      </c>
      <c r="C298" s="36" t="s">
        <v>43</v>
      </c>
      <c r="D298" s="36"/>
      <c r="E298" s="280"/>
      <c r="F298" s="280"/>
      <c r="G298" s="280"/>
      <c r="H298" s="280"/>
      <c r="I298" s="280"/>
      <c r="J298" s="280"/>
      <c r="K298" s="280"/>
      <c r="L298" s="280"/>
      <c r="M298" s="280"/>
      <c r="N298" s="280"/>
      <c r="O298" s="164"/>
    </row>
    <row r="299" spans="1:15" x14ac:dyDescent="0.25">
      <c r="A299" s="131" t="s">
        <v>234</v>
      </c>
      <c r="B299" s="114" t="s">
        <v>115</v>
      </c>
      <c r="C299" s="36" t="s">
        <v>14</v>
      </c>
      <c r="D299" s="36"/>
      <c r="E299" s="293"/>
      <c r="F299" s="293"/>
      <c r="G299" s="293"/>
      <c r="H299" s="293"/>
      <c r="I299" s="293"/>
      <c r="J299" s="293"/>
      <c r="K299" s="293"/>
      <c r="L299" s="293"/>
      <c r="M299" s="293"/>
      <c r="N299" s="293"/>
      <c r="O299" s="164"/>
    </row>
    <row r="300" spans="1:15" x14ac:dyDescent="0.25">
      <c r="A300" s="33"/>
      <c r="B300" s="75" t="s">
        <v>513</v>
      </c>
      <c r="C300" s="36"/>
      <c r="D300" s="36"/>
      <c r="E300" s="79"/>
      <c r="F300" s="79"/>
      <c r="G300" s="79"/>
      <c r="H300" s="79"/>
      <c r="I300" s="79"/>
      <c r="J300" s="79"/>
      <c r="K300" s="79"/>
      <c r="L300" s="79"/>
      <c r="M300" s="79"/>
      <c r="N300" s="79"/>
      <c r="O300" s="164"/>
    </row>
    <row r="301" spans="1:15" x14ac:dyDescent="0.25">
      <c r="A301" s="131" t="s">
        <v>233</v>
      </c>
      <c r="B301" s="114" t="s">
        <v>181</v>
      </c>
      <c r="C301" s="36" t="s">
        <v>43</v>
      </c>
      <c r="D301" s="36"/>
      <c r="E301" s="280"/>
      <c r="F301" s="280"/>
      <c r="G301" s="280"/>
      <c r="H301" s="280"/>
      <c r="I301" s="280"/>
      <c r="J301" s="280"/>
      <c r="K301" s="280"/>
      <c r="L301" s="280"/>
      <c r="M301" s="280"/>
      <c r="N301" s="280"/>
      <c r="O301" s="164"/>
    </row>
    <row r="302" spans="1:15" x14ac:dyDescent="0.25">
      <c r="A302" s="131" t="s">
        <v>234</v>
      </c>
      <c r="B302" s="114" t="s">
        <v>115</v>
      </c>
      <c r="C302" s="36" t="s">
        <v>14</v>
      </c>
      <c r="D302" s="36"/>
      <c r="E302" s="293"/>
      <c r="F302" s="293"/>
      <c r="G302" s="293"/>
      <c r="H302" s="293"/>
      <c r="I302" s="293"/>
      <c r="J302" s="293"/>
      <c r="K302" s="293"/>
      <c r="L302" s="293"/>
      <c r="M302" s="293"/>
      <c r="N302" s="293"/>
      <c r="O302" s="164"/>
    </row>
    <row r="303" spans="1:15" x14ac:dyDescent="0.25">
      <c r="A303" s="227" t="s">
        <v>601</v>
      </c>
      <c r="B303" s="73" t="s">
        <v>130</v>
      </c>
      <c r="C303" s="80"/>
      <c r="D303" s="80"/>
      <c r="E303" s="79"/>
      <c r="F303" s="79"/>
      <c r="G303" s="79"/>
      <c r="H303" s="79"/>
      <c r="I303" s="79"/>
      <c r="J303" s="79"/>
      <c r="K303" s="79"/>
      <c r="L303" s="79"/>
      <c r="M303" s="79"/>
      <c r="N303" s="79"/>
      <c r="O303" s="164"/>
    </row>
    <row r="304" spans="1:15" x14ac:dyDescent="0.25">
      <c r="A304" s="33"/>
      <c r="B304" s="75" t="s">
        <v>116</v>
      </c>
      <c r="C304" s="36"/>
      <c r="D304" s="36"/>
      <c r="E304" s="79"/>
      <c r="F304" s="79"/>
      <c r="G304" s="79"/>
      <c r="H304" s="79"/>
      <c r="I304" s="79"/>
      <c r="J304" s="79"/>
      <c r="K304" s="79"/>
      <c r="L304" s="79"/>
      <c r="M304" s="79"/>
      <c r="N304" s="79"/>
      <c r="O304" s="164"/>
    </row>
    <row r="305" spans="1:15" x14ac:dyDescent="0.25">
      <c r="A305" s="131" t="s">
        <v>233</v>
      </c>
      <c r="B305" s="114" t="s">
        <v>181</v>
      </c>
      <c r="C305" s="36" t="s">
        <v>43</v>
      </c>
      <c r="D305" s="36"/>
      <c r="E305" s="166"/>
      <c r="F305" s="166"/>
      <c r="G305" s="166"/>
      <c r="H305" s="166"/>
      <c r="I305" s="166"/>
      <c r="J305" s="166"/>
      <c r="K305" s="166"/>
      <c r="L305" s="166"/>
      <c r="M305" s="166"/>
      <c r="N305" s="166"/>
      <c r="O305" s="164"/>
    </row>
    <row r="306" spans="1:15" x14ac:dyDescent="0.25">
      <c r="A306" s="131" t="s">
        <v>234</v>
      </c>
      <c r="B306" s="114" t="s">
        <v>115</v>
      </c>
      <c r="C306" s="36" t="s">
        <v>14</v>
      </c>
      <c r="D306" s="36"/>
      <c r="E306" s="293"/>
      <c r="F306" s="293"/>
      <c r="G306" s="293"/>
      <c r="H306" s="293"/>
      <c r="I306" s="293"/>
      <c r="J306" s="293"/>
      <c r="K306" s="293"/>
      <c r="L306" s="293"/>
      <c r="M306" s="293"/>
      <c r="N306" s="293"/>
      <c r="O306" s="164"/>
    </row>
    <row r="307" spans="1:15" x14ac:dyDescent="0.25">
      <c r="A307" s="33"/>
      <c r="B307" s="75" t="s">
        <v>117</v>
      </c>
      <c r="C307" s="36"/>
      <c r="D307" s="36"/>
      <c r="E307" s="79"/>
      <c r="F307" s="79"/>
      <c r="G307" s="79"/>
      <c r="H307" s="79"/>
      <c r="I307" s="79"/>
      <c r="J307" s="79"/>
      <c r="K307" s="79"/>
      <c r="L307" s="79"/>
      <c r="M307" s="79"/>
      <c r="N307" s="79"/>
      <c r="O307" s="164"/>
    </row>
    <row r="308" spans="1:15" x14ac:dyDescent="0.25">
      <c r="A308" s="131" t="s">
        <v>233</v>
      </c>
      <c r="B308" s="114" t="s">
        <v>181</v>
      </c>
      <c r="C308" s="36" t="s">
        <v>43</v>
      </c>
      <c r="D308" s="36"/>
      <c r="E308" s="166"/>
      <c r="F308" s="166"/>
      <c r="G308" s="166"/>
      <c r="H308" s="166"/>
      <c r="I308" s="166"/>
      <c r="J308" s="166"/>
      <c r="K308" s="166"/>
      <c r="L308" s="166"/>
      <c r="M308" s="166"/>
      <c r="N308" s="166"/>
      <c r="O308" s="164"/>
    </row>
    <row r="309" spans="1:15" x14ac:dyDescent="0.25">
      <c r="A309" s="131" t="s">
        <v>234</v>
      </c>
      <c r="B309" s="114" t="s">
        <v>115</v>
      </c>
      <c r="C309" s="36" t="s">
        <v>14</v>
      </c>
      <c r="D309" s="36"/>
      <c r="E309" s="293"/>
      <c r="F309" s="293"/>
      <c r="G309" s="293"/>
      <c r="H309" s="293"/>
      <c r="I309" s="293"/>
      <c r="J309" s="293"/>
      <c r="K309" s="293"/>
      <c r="L309" s="293"/>
      <c r="M309" s="293"/>
      <c r="N309" s="293"/>
      <c r="O309" s="164"/>
    </row>
    <row r="310" spans="1:15" x14ac:dyDescent="0.25">
      <c r="A310" s="33"/>
      <c r="B310" s="75" t="s">
        <v>118</v>
      </c>
      <c r="C310" s="36"/>
      <c r="D310" s="36"/>
      <c r="E310" s="79"/>
      <c r="F310" s="79"/>
      <c r="G310" s="79"/>
      <c r="H310" s="79"/>
      <c r="I310" s="79"/>
      <c r="J310" s="79"/>
      <c r="K310" s="79"/>
      <c r="L310" s="79"/>
      <c r="M310" s="79"/>
      <c r="N310" s="79"/>
      <c r="O310" s="164"/>
    </row>
    <row r="311" spans="1:15" x14ac:dyDescent="0.25">
      <c r="A311" s="131" t="s">
        <v>233</v>
      </c>
      <c r="B311" s="114" t="s">
        <v>181</v>
      </c>
      <c r="C311" s="36" t="s">
        <v>43</v>
      </c>
      <c r="D311" s="36"/>
      <c r="E311" s="166"/>
      <c r="F311" s="166"/>
      <c r="G311" s="166"/>
      <c r="H311" s="166"/>
      <c r="I311" s="166"/>
      <c r="J311" s="166"/>
      <c r="K311" s="166"/>
      <c r="L311" s="166"/>
      <c r="M311" s="166"/>
      <c r="N311" s="166"/>
      <c r="O311" s="164"/>
    </row>
    <row r="312" spans="1:15" x14ac:dyDescent="0.25">
      <c r="A312" s="131" t="s">
        <v>234</v>
      </c>
      <c r="B312" s="114" t="s">
        <v>115</v>
      </c>
      <c r="C312" s="36" t="s">
        <v>14</v>
      </c>
      <c r="D312" s="36"/>
      <c r="E312" s="293"/>
      <c r="F312" s="293"/>
      <c r="G312" s="293"/>
      <c r="H312" s="293"/>
      <c r="I312" s="293"/>
      <c r="J312" s="293"/>
      <c r="K312" s="293"/>
      <c r="L312" s="293"/>
      <c r="M312" s="293"/>
      <c r="N312" s="293"/>
      <c r="O312" s="164"/>
    </row>
    <row r="313" spans="1:15" x14ac:dyDescent="0.25">
      <c r="A313" s="33"/>
      <c r="B313" s="75" t="s">
        <v>119</v>
      </c>
      <c r="C313" s="36"/>
      <c r="D313" s="36"/>
      <c r="E313" s="79"/>
      <c r="F313" s="79"/>
      <c r="G313" s="79"/>
      <c r="H313" s="79"/>
      <c r="I313" s="79"/>
      <c r="J313" s="79"/>
      <c r="K313" s="79"/>
      <c r="L313" s="79"/>
      <c r="M313" s="79"/>
      <c r="N313" s="79"/>
      <c r="O313" s="164"/>
    </row>
    <row r="314" spans="1:15" x14ac:dyDescent="0.25">
      <c r="A314" s="131" t="s">
        <v>233</v>
      </c>
      <c r="B314" s="114" t="s">
        <v>181</v>
      </c>
      <c r="C314" s="36" t="s">
        <v>43</v>
      </c>
      <c r="D314" s="36"/>
      <c r="E314" s="166"/>
      <c r="F314" s="166"/>
      <c r="G314" s="166"/>
      <c r="H314" s="166"/>
      <c r="I314" s="166"/>
      <c r="J314" s="166"/>
      <c r="K314" s="166"/>
      <c r="L314" s="166"/>
      <c r="M314" s="166"/>
      <c r="N314" s="166"/>
      <c r="O314" s="164"/>
    </row>
    <row r="315" spans="1:15" x14ac:dyDescent="0.25">
      <c r="A315" s="131" t="s">
        <v>234</v>
      </c>
      <c r="B315" s="114" t="s">
        <v>115</v>
      </c>
      <c r="C315" s="36" t="s">
        <v>14</v>
      </c>
      <c r="D315" s="36"/>
      <c r="E315" s="293"/>
      <c r="F315" s="293"/>
      <c r="G315" s="293"/>
      <c r="H315" s="293"/>
      <c r="I315" s="293"/>
      <c r="J315" s="293"/>
      <c r="K315" s="293"/>
      <c r="L315" s="293"/>
      <c r="M315" s="293"/>
      <c r="N315" s="293"/>
      <c r="O315" s="164"/>
    </row>
    <row r="316" spans="1:15" x14ac:dyDescent="0.25">
      <c r="A316" s="33"/>
      <c r="B316" s="75" t="s">
        <v>501</v>
      </c>
      <c r="C316" s="36"/>
      <c r="D316" s="36"/>
      <c r="E316" s="79"/>
      <c r="F316" s="79"/>
      <c r="G316" s="79"/>
      <c r="H316" s="79"/>
      <c r="I316" s="79"/>
      <c r="J316" s="79"/>
      <c r="K316" s="79"/>
      <c r="L316" s="79"/>
      <c r="M316" s="79"/>
      <c r="N316" s="79"/>
      <c r="O316" s="164"/>
    </row>
    <row r="317" spans="1:15" x14ac:dyDescent="0.25">
      <c r="A317" s="131" t="s">
        <v>233</v>
      </c>
      <c r="B317" s="114" t="s">
        <v>181</v>
      </c>
      <c r="C317" s="36" t="s">
        <v>43</v>
      </c>
      <c r="D317" s="36"/>
      <c r="E317" s="166"/>
      <c r="F317" s="166"/>
      <c r="G317" s="166"/>
      <c r="H317" s="166"/>
      <c r="I317" s="166"/>
      <c r="J317" s="166"/>
      <c r="K317" s="166"/>
      <c r="L317" s="166"/>
      <c r="M317" s="166"/>
      <c r="N317" s="166"/>
      <c r="O317" s="164"/>
    </row>
    <row r="318" spans="1:15" x14ac:dyDescent="0.25">
      <c r="A318" s="131" t="s">
        <v>234</v>
      </c>
      <c r="B318" s="114" t="s">
        <v>115</v>
      </c>
      <c r="C318" s="36" t="s">
        <v>45</v>
      </c>
      <c r="D318" s="36"/>
      <c r="E318" s="293"/>
      <c r="F318" s="293"/>
      <c r="G318" s="293"/>
      <c r="H318" s="293"/>
      <c r="I318" s="293"/>
      <c r="J318" s="293"/>
      <c r="K318" s="293"/>
      <c r="L318" s="293"/>
      <c r="M318" s="293"/>
      <c r="N318" s="293"/>
      <c r="O318" s="164"/>
    </row>
    <row r="319" spans="1:15" x14ac:dyDescent="0.25">
      <c r="A319" s="33"/>
      <c r="B319" s="75" t="s">
        <v>502</v>
      </c>
      <c r="C319" s="36"/>
      <c r="D319" s="36"/>
      <c r="E319" s="79"/>
      <c r="F319" s="79"/>
      <c r="G319" s="79"/>
      <c r="H319" s="79"/>
      <c r="I319" s="79"/>
      <c r="J319" s="79"/>
      <c r="K319" s="79"/>
      <c r="L319" s="79"/>
      <c r="M319" s="79"/>
      <c r="N319" s="79"/>
      <c r="O319" s="164"/>
    </row>
    <row r="320" spans="1:15" x14ac:dyDescent="0.25">
      <c r="A320" s="131" t="s">
        <v>233</v>
      </c>
      <c r="B320" s="114" t="s">
        <v>181</v>
      </c>
      <c r="C320" s="36" t="s">
        <v>43</v>
      </c>
      <c r="D320" s="36"/>
      <c r="E320" s="166"/>
      <c r="F320" s="166"/>
      <c r="G320" s="166"/>
      <c r="H320" s="166"/>
      <c r="I320" s="166"/>
      <c r="J320" s="166"/>
      <c r="K320" s="166"/>
      <c r="L320" s="166"/>
      <c r="M320" s="166"/>
      <c r="N320" s="166"/>
      <c r="O320" s="164"/>
    </row>
    <row r="321" spans="1:15" x14ac:dyDescent="0.25">
      <c r="A321" s="131" t="s">
        <v>234</v>
      </c>
      <c r="B321" s="114" t="s">
        <v>115</v>
      </c>
      <c r="C321" s="36" t="s">
        <v>45</v>
      </c>
      <c r="D321" s="36"/>
      <c r="E321" s="293"/>
      <c r="F321" s="293"/>
      <c r="G321" s="293"/>
      <c r="H321" s="293"/>
      <c r="I321" s="293"/>
      <c r="J321" s="293"/>
      <c r="K321" s="293"/>
      <c r="L321" s="293"/>
      <c r="M321" s="293"/>
      <c r="N321" s="293"/>
      <c r="O321" s="164"/>
    </row>
    <row r="322" spans="1:15" x14ac:dyDescent="0.25">
      <c r="A322" s="227" t="s">
        <v>602</v>
      </c>
      <c r="B322" s="73" t="s">
        <v>128</v>
      </c>
      <c r="C322" s="36"/>
      <c r="D322" s="36"/>
      <c r="E322" s="79"/>
      <c r="F322" s="79"/>
      <c r="G322" s="79"/>
      <c r="H322" s="79"/>
      <c r="I322" s="79"/>
      <c r="J322" s="79"/>
      <c r="K322" s="79"/>
      <c r="L322" s="79"/>
      <c r="M322" s="79"/>
      <c r="N322" s="79"/>
      <c r="O322" s="164"/>
    </row>
    <row r="323" spans="1:15" x14ac:dyDescent="0.25">
      <c r="A323" s="33"/>
      <c r="B323" s="75" t="s">
        <v>120</v>
      </c>
      <c r="C323" s="36"/>
      <c r="D323" s="36"/>
      <c r="E323" s="79"/>
      <c r="F323" s="79"/>
      <c r="G323" s="79"/>
      <c r="H323" s="79"/>
      <c r="I323" s="79"/>
      <c r="J323" s="79"/>
      <c r="K323" s="79"/>
      <c r="L323" s="79"/>
      <c r="M323" s="79"/>
      <c r="N323" s="79"/>
      <c r="O323" s="164"/>
    </row>
    <row r="324" spans="1:15" x14ac:dyDescent="0.25">
      <c r="A324" s="131" t="s">
        <v>233</v>
      </c>
      <c r="B324" s="114" t="s">
        <v>181</v>
      </c>
      <c r="C324" s="36" t="s">
        <v>43</v>
      </c>
      <c r="D324" s="36"/>
      <c r="E324" s="166"/>
      <c r="F324" s="166"/>
      <c r="G324" s="166"/>
      <c r="H324" s="166"/>
      <c r="I324" s="166"/>
      <c r="J324" s="166"/>
      <c r="K324" s="166"/>
      <c r="L324" s="166"/>
      <c r="M324" s="166"/>
      <c r="N324" s="166"/>
      <c r="O324" s="164"/>
    </row>
    <row r="325" spans="1:15" x14ac:dyDescent="0.25">
      <c r="A325" s="131" t="s">
        <v>234</v>
      </c>
      <c r="B325" s="114" t="s">
        <v>115</v>
      </c>
      <c r="C325" s="36" t="s">
        <v>14</v>
      </c>
      <c r="D325" s="36"/>
      <c r="E325" s="293"/>
      <c r="F325" s="293"/>
      <c r="G325" s="293"/>
      <c r="H325" s="293"/>
      <c r="I325" s="293"/>
      <c r="J325" s="293"/>
      <c r="K325" s="293"/>
      <c r="L325" s="293"/>
      <c r="M325" s="293"/>
      <c r="N325" s="293"/>
      <c r="O325" s="164"/>
    </row>
    <row r="326" spans="1:15" x14ac:dyDescent="0.25">
      <c r="A326" s="33"/>
      <c r="B326" s="75" t="s">
        <v>121</v>
      </c>
      <c r="C326" s="36"/>
      <c r="D326" s="36"/>
      <c r="E326" s="79"/>
      <c r="F326" s="79"/>
      <c r="G326" s="79"/>
      <c r="H326" s="79"/>
      <c r="I326" s="79"/>
      <c r="J326" s="79"/>
      <c r="K326" s="79"/>
      <c r="L326" s="79"/>
      <c r="M326" s="79"/>
      <c r="N326" s="79"/>
      <c r="O326" s="164"/>
    </row>
    <row r="327" spans="1:15" x14ac:dyDescent="0.25">
      <c r="A327" s="131" t="s">
        <v>233</v>
      </c>
      <c r="B327" s="114" t="s">
        <v>181</v>
      </c>
      <c r="C327" s="36" t="s">
        <v>43</v>
      </c>
      <c r="D327" s="36"/>
      <c r="E327" s="166"/>
      <c r="F327" s="166"/>
      <c r="G327" s="166"/>
      <c r="H327" s="166"/>
      <c r="I327" s="166"/>
      <c r="J327" s="166"/>
      <c r="K327" s="166"/>
      <c r="L327" s="166"/>
      <c r="M327" s="166"/>
      <c r="N327" s="166"/>
      <c r="O327" s="164"/>
    </row>
    <row r="328" spans="1:15" x14ac:dyDescent="0.25">
      <c r="A328" s="131" t="s">
        <v>234</v>
      </c>
      <c r="B328" s="114" t="s">
        <v>115</v>
      </c>
      <c r="C328" s="36" t="s">
        <v>14</v>
      </c>
      <c r="D328" s="36"/>
      <c r="E328" s="293"/>
      <c r="F328" s="293"/>
      <c r="G328" s="293"/>
      <c r="H328" s="293"/>
      <c r="I328" s="293"/>
      <c r="J328" s="293"/>
      <c r="K328" s="293"/>
      <c r="L328" s="293"/>
      <c r="M328" s="293"/>
      <c r="N328" s="293"/>
      <c r="O328" s="164"/>
    </row>
    <row r="329" spans="1:15" x14ac:dyDescent="0.25">
      <c r="A329" s="33"/>
      <c r="B329" s="75" t="s">
        <v>122</v>
      </c>
      <c r="C329" s="36"/>
      <c r="D329" s="36"/>
      <c r="E329" s="79"/>
      <c r="F329" s="79"/>
      <c r="G329" s="79"/>
      <c r="H329" s="79"/>
      <c r="I329" s="79"/>
      <c r="J329" s="79"/>
      <c r="K329" s="79"/>
      <c r="L329" s="79"/>
      <c r="M329" s="79"/>
      <c r="N329" s="79"/>
      <c r="O329" s="164"/>
    </row>
    <row r="330" spans="1:15" x14ac:dyDescent="0.25">
      <c r="A330" s="131" t="s">
        <v>233</v>
      </c>
      <c r="B330" s="114" t="s">
        <v>181</v>
      </c>
      <c r="C330" s="36" t="s">
        <v>43</v>
      </c>
      <c r="D330" s="36"/>
      <c r="E330" s="166"/>
      <c r="F330" s="166"/>
      <c r="G330" s="166"/>
      <c r="H330" s="166"/>
      <c r="I330" s="166"/>
      <c r="J330" s="166"/>
      <c r="K330" s="166"/>
      <c r="L330" s="166"/>
      <c r="M330" s="166"/>
      <c r="N330" s="166"/>
      <c r="O330" s="164"/>
    </row>
    <row r="331" spans="1:15" x14ac:dyDescent="0.25">
      <c r="A331" s="131" t="s">
        <v>234</v>
      </c>
      <c r="B331" s="114" t="s">
        <v>115</v>
      </c>
      <c r="C331" s="36" t="s">
        <v>14</v>
      </c>
      <c r="D331" s="36"/>
      <c r="E331" s="293"/>
      <c r="F331" s="293"/>
      <c r="G331" s="293"/>
      <c r="H331" s="293"/>
      <c r="I331" s="293"/>
      <c r="J331" s="293"/>
      <c r="K331" s="293"/>
      <c r="L331" s="293"/>
      <c r="M331" s="293"/>
      <c r="N331" s="293"/>
      <c r="O331" s="164"/>
    </row>
    <row r="332" spans="1:15" x14ac:dyDescent="0.25">
      <c r="A332" s="228" t="s">
        <v>404</v>
      </c>
      <c r="B332" s="21" t="s">
        <v>157</v>
      </c>
      <c r="C332" s="22"/>
      <c r="D332" s="22"/>
      <c r="E332" s="34"/>
      <c r="F332" s="34"/>
      <c r="G332" s="34"/>
      <c r="H332" s="34"/>
      <c r="I332" s="34"/>
      <c r="J332" s="34"/>
      <c r="K332" s="34"/>
      <c r="L332" s="34"/>
      <c r="M332" s="34"/>
      <c r="N332" s="34"/>
      <c r="O332" s="35"/>
    </row>
    <row r="333" spans="1:15" x14ac:dyDescent="0.25">
      <c r="A333" s="227" t="s">
        <v>408</v>
      </c>
      <c r="B333" s="115" t="s">
        <v>157</v>
      </c>
      <c r="C333" s="36" t="s">
        <v>43</v>
      </c>
      <c r="D333" s="36"/>
      <c r="E333" s="166"/>
      <c r="F333" s="166"/>
      <c r="G333" s="166"/>
      <c r="H333" s="166"/>
      <c r="I333" s="166"/>
      <c r="J333" s="166"/>
      <c r="K333" s="166"/>
      <c r="L333" s="166"/>
      <c r="M333" s="166"/>
      <c r="N333" s="166"/>
      <c r="O333" s="164"/>
    </row>
    <row r="334" spans="1:15" x14ac:dyDescent="0.25">
      <c r="A334" s="228" t="s">
        <v>405</v>
      </c>
      <c r="B334" s="21" t="s">
        <v>135</v>
      </c>
      <c r="C334" s="21"/>
      <c r="D334" s="21"/>
      <c r="E334" s="34"/>
      <c r="F334" s="34"/>
      <c r="G334" s="34"/>
      <c r="H334" s="34"/>
      <c r="I334" s="34"/>
      <c r="J334" s="34"/>
      <c r="K334" s="34"/>
      <c r="L334" s="34"/>
      <c r="M334" s="34"/>
      <c r="N334" s="34"/>
      <c r="O334" s="35"/>
    </row>
    <row r="335" spans="1:15" x14ac:dyDescent="0.25">
      <c r="A335" s="227" t="s">
        <v>603</v>
      </c>
      <c r="B335" s="113" t="s">
        <v>81</v>
      </c>
      <c r="C335" s="80"/>
      <c r="D335" s="80"/>
      <c r="E335" s="79"/>
      <c r="F335" s="79"/>
      <c r="G335" s="79"/>
      <c r="H335" s="79"/>
      <c r="I335" s="79"/>
      <c r="J335" s="79"/>
      <c r="K335" s="79"/>
      <c r="L335" s="79"/>
      <c r="M335" s="79"/>
      <c r="N335" s="79"/>
      <c r="O335" s="164"/>
    </row>
    <row r="336" spans="1:15" x14ac:dyDescent="0.25">
      <c r="A336" s="131" t="s">
        <v>233</v>
      </c>
      <c r="B336" s="75" t="s">
        <v>181</v>
      </c>
      <c r="C336" s="36" t="s">
        <v>43</v>
      </c>
      <c r="D336" s="36"/>
      <c r="E336" s="166"/>
      <c r="F336" s="166"/>
      <c r="G336" s="166"/>
      <c r="H336" s="166"/>
      <c r="I336" s="166"/>
      <c r="J336" s="166"/>
      <c r="K336" s="166"/>
      <c r="L336" s="166"/>
      <c r="M336" s="166"/>
      <c r="N336" s="166"/>
      <c r="O336" s="164"/>
    </row>
    <row r="337" spans="1:15" x14ac:dyDescent="0.25">
      <c r="A337" s="131" t="s">
        <v>234</v>
      </c>
      <c r="B337" s="75" t="s">
        <v>115</v>
      </c>
      <c r="C337" s="36" t="s">
        <v>45</v>
      </c>
      <c r="D337" s="36"/>
      <c r="E337" s="172"/>
      <c r="F337" s="172"/>
      <c r="G337" s="172"/>
      <c r="H337" s="172"/>
      <c r="I337" s="172"/>
      <c r="J337" s="172"/>
      <c r="K337" s="172"/>
      <c r="L337" s="172"/>
      <c r="M337" s="172"/>
      <c r="N337" s="172"/>
      <c r="O337" s="164"/>
    </row>
    <row r="338" spans="1:15" x14ac:dyDescent="0.25">
      <c r="A338" s="227" t="s">
        <v>604</v>
      </c>
      <c r="B338" s="73" t="s">
        <v>82</v>
      </c>
      <c r="C338" s="36"/>
      <c r="D338" s="36"/>
      <c r="E338" s="79"/>
      <c r="F338" s="79"/>
      <c r="G338" s="79"/>
      <c r="H338" s="79"/>
      <c r="I338" s="79"/>
      <c r="J338" s="79"/>
      <c r="K338" s="79"/>
      <c r="L338" s="79"/>
      <c r="M338" s="79"/>
      <c r="N338" s="79"/>
      <c r="O338" s="164"/>
    </row>
    <row r="339" spans="1:15" x14ac:dyDescent="0.25">
      <c r="A339" s="131" t="s">
        <v>233</v>
      </c>
      <c r="B339" s="75" t="s">
        <v>191</v>
      </c>
      <c r="C339" s="36" t="s">
        <v>43</v>
      </c>
      <c r="D339" s="36"/>
      <c r="E339" s="166"/>
      <c r="F339" s="166"/>
      <c r="G339" s="166"/>
      <c r="H339" s="166"/>
      <c r="I339" s="166"/>
      <c r="J339" s="166"/>
      <c r="K339" s="166"/>
      <c r="L339" s="166"/>
      <c r="M339" s="166"/>
      <c r="N339" s="166"/>
      <c r="O339" s="164"/>
    </row>
    <row r="340" spans="1:15" x14ac:dyDescent="0.25">
      <c r="A340" s="228" t="s">
        <v>401</v>
      </c>
      <c r="B340" s="25" t="s">
        <v>52</v>
      </c>
      <c r="C340" s="21"/>
      <c r="D340" s="21"/>
      <c r="E340" s="42"/>
      <c r="F340" s="42"/>
      <c r="G340" s="42"/>
      <c r="H340" s="42"/>
      <c r="I340" s="42"/>
      <c r="J340" s="42"/>
      <c r="K340" s="42"/>
      <c r="L340" s="42"/>
      <c r="M340" s="42"/>
      <c r="N340" s="42"/>
      <c r="O340" s="35"/>
    </row>
    <row r="341" spans="1:15" x14ac:dyDescent="0.25">
      <c r="A341" s="33"/>
      <c r="B341" s="73" t="s">
        <v>139</v>
      </c>
      <c r="C341" s="80"/>
      <c r="D341" s="80"/>
      <c r="E341" s="81"/>
      <c r="F341" s="81"/>
      <c r="G341" s="81"/>
      <c r="H341" s="81"/>
      <c r="I341" s="81"/>
      <c r="J341" s="81"/>
      <c r="K341" s="81"/>
      <c r="L341" s="81"/>
      <c r="M341" s="81"/>
      <c r="N341" s="82"/>
      <c r="O341" s="164"/>
    </row>
    <row r="342" spans="1:15" x14ac:dyDescent="0.25">
      <c r="A342" s="131" t="s">
        <v>233</v>
      </c>
      <c r="B342" s="75" t="s">
        <v>158</v>
      </c>
      <c r="C342" s="36" t="s">
        <v>43</v>
      </c>
      <c r="D342" s="36"/>
      <c r="E342" s="292"/>
      <c r="F342" s="292"/>
      <c r="G342" s="292"/>
      <c r="H342" s="292"/>
      <c r="I342" s="292"/>
      <c r="J342" s="292"/>
      <c r="K342" s="292"/>
      <c r="L342" s="292"/>
      <c r="M342" s="292"/>
      <c r="N342" s="292"/>
      <c r="O342" s="164"/>
    </row>
    <row r="343" spans="1:15" x14ac:dyDescent="0.25">
      <c r="A343" s="131" t="s">
        <v>234</v>
      </c>
      <c r="B343" s="75" t="s">
        <v>129</v>
      </c>
      <c r="C343" s="36" t="s">
        <v>45</v>
      </c>
      <c r="D343" s="36"/>
      <c r="E343" s="293"/>
      <c r="F343" s="293"/>
      <c r="G343" s="293"/>
      <c r="H343" s="293"/>
      <c r="I343" s="293"/>
      <c r="J343" s="293"/>
      <c r="K343" s="293"/>
      <c r="L343" s="293"/>
      <c r="M343" s="293"/>
      <c r="N343" s="293"/>
      <c r="O343" s="164"/>
    </row>
    <row r="344" spans="1:15" x14ac:dyDescent="0.25">
      <c r="A344" s="33"/>
      <c r="B344" s="73" t="s">
        <v>140</v>
      </c>
      <c r="C344" s="36"/>
      <c r="D344" s="36"/>
      <c r="E344" s="81"/>
      <c r="F344" s="81"/>
      <c r="G344" s="81"/>
      <c r="H344" s="81"/>
      <c r="I344" s="81"/>
      <c r="J344" s="81"/>
      <c r="K344" s="81"/>
      <c r="L344" s="81"/>
      <c r="M344" s="81"/>
      <c r="N344" s="82"/>
      <c r="O344" s="164"/>
    </row>
    <row r="345" spans="1:15" x14ac:dyDescent="0.25">
      <c r="A345" s="131" t="s">
        <v>233</v>
      </c>
      <c r="B345" s="75" t="s">
        <v>158</v>
      </c>
      <c r="C345" s="36" t="s">
        <v>43</v>
      </c>
      <c r="D345" s="36"/>
      <c r="E345" s="237"/>
      <c r="F345" s="237"/>
      <c r="G345" s="237"/>
      <c r="H345" s="237"/>
      <c r="I345" s="237"/>
      <c r="J345" s="237"/>
      <c r="K345" s="237"/>
      <c r="L345" s="237"/>
      <c r="M345" s="237"/>
      <c r="N345" s="237"/>
      <c r="O345" s="164"/>
    </row>
    <row r="346" spans="1:15" x14ac:dyDescent="0.25">
      <c r="A346" s="131" t="s">
        <v>234</v>
      </c>
      <c r="B346" s="75" t="s">
        <v>129</v>
      </c>
      <c r="C346" s="36" t="s">
        <v>45</v>
      </c>
      <c r="D346" s="36"/>
      <c r="E346" s="242"/>
      <c r="F346" s="242"/>
      <c r="G346" s="242"/>
      <c r="H346" s="242"/>
      <c r="I346" s="242"/>
      <c r="J346" s="242"/>
      <c r="K346" s="242"/>
      <c r="L346" s="242"/>
      <c r="M346" s="242"/>
      <c r="N346" s="242"/>
      <c r="O346" s="164"/>
    </row>
    <row r="347" spans="1:15" x14ac:dyDescent="0.25">
      <c r="A347" s="33"/>
      <c r="B347" s="73" t="s">
        <v>141</v>
      </c>
      <c r="C347" s="36"/>
      <c r="D347" s="36"/>
      <c r="E347" s="81"/>
      <c r="F347" s="81"/>
      <c r="G347" s="81"/>
      <c r="H347" s="81"/>
      <c r="I347" s="81"/>
      <c r="J347" s="81"/>
      <c r="K347" s="81"/>
      <c r="L347" s="81"/>
      <c r="M347" s="81"/>
      <c r="N347" s="82"/>
      <c r="O347" s="164"/>
    </row>
    <row r="348" spans="1:15" x14ac:dyDescent="0.25">
      <c r="A348" s="131" t="s">
        <v>233</v>
      </c>
      <c r="B348" s="75" t="s">
        <v>158</v>
      </c>
      <c r="C348" s="36" t="s">
        <v>43</v>
      </c>
      <c r="D348" s="36"/>
      <c r="E348" s="237"/>
      <c r="F348" s="237"/>
      <c r="G348" s="237"/>
      <c r="H348" s="237"/>
      <c r="I348" s="237"/>
      <c r="J348" s="237"/>
      <c r="K348" s="237"/>
      <c r="L348" s="237"/>
      <c r="M348" s="237"/>
      <c r="N348" s="237"/>
      <c r="O348" s="164"/>
    </row>
    <row r="349" spans="1:15" x14ac:dyDescent="0.25">
      <c r="A349" s="131" t="s">
        <v>234</v>
      </c>
      <c r="B349" s="75" t="s">
        <v>129</v>
      </c>
      <c r="C349" s="36" t="s">
        <v>45</v>
      </c>
      <c r="D349" s="36"/>
      <c r="E349" s="242"/>
      <c r="F349" s="242"/>
      <c r="G349" s="242"/>
      <c r="H349" s="242"/>
      <c r="I349" s="242"/>
      <c r="J349" s="242"/>
      <c r="K349" s="242"/>
      <c r="L349" s="242"/>
      <c r="M349" s="242"/>
      <c r="N349" s="242"/>
      <c r="O349" s="164"/>
    </row>
    <row r="350" spans="1:15" x14ac:dyDescent="0.25">
      <c r="A350" s="33"/>
      <c r="B350" s="73" t="s">
        <v>521</v>
      </c>
      <c r="C350" s="36"/>
      <c r="D350" s="36"/>
      <c r="E350" s="81"/>
      <c r="F350" s="81"/>
      <c r="G350" s="81"/>
      <c r="H350" s="81"/>
      <c r="I350" s="81"/>
      <c r="J350" s="81"/>
      <c r="K350" s="81"/>
      <c r="L350" s="81"/>
      <c r="M350" s="81"/>
      <c r="N350" s="82"/>
      <c r="O350" s="164"/>
    </row>
    <row r="351" spans="1:15" x14ac:dyDescent="0.25">
      <c r="A351" s="131" t="s">
        <v>233</v>
      </c>
      <c r="B351" s="75" t="s">
        <v>158</v>
      </c>
      <c r="C351" s="36" t="s">
        <v>43</v>
      </c>
      <c r="D351" s="36"/>
      <c r="E351" s="166"/>
      <c r="F351" s="166"/>
      <c r="G351" s="166"/>
      <c r="H351" s="166"/>
      <c r="I351" s="166"/>
      <c r="J351" s="166"/>
      <c r="K351" s="166"/>
      <c r="L351" s="166"/>
      <c r="M351" s="166"/>
      <c r="N351" s="166"/>
      <c r="O351" s="164"/>
    </row>
    <row r="352" spans="1:15" x14ac:dyDescent="0.25">
      <c r="A352" s="131" t="s">
        <v>234</v>
      </c>
      <c r="B352" s="75" t="s">
        <v>129</v>
      </c>
      <c r="C352" s="36" t="s">
        <v>45</v>
      </c>
      <c r="D352" s="36"/>
      <c r="E352" s="172"/>
      <c r="F352" s="172"/>
      <c r="G352" s="172"/>
      <c r="H352" s="172"/>
      <c r="I352" s="172"/>
      <c r="J352" s="172"/>
      <c r="K352" s="172"/>
      <c r="L352" s="172"/>
      <c r="M352" s="172"/>
      <c r="N352" s="172"/>
      <c r="O352" s="164"/>
    </row>
    <row r="353" spans="1:15" x14ac:dyDescent="0.25">
      <c r="A353" s="33"/>
      <c r="B353" s="73" t="s">
        <v>522</v>
      </c>
      <c r="C353" s="36"/>
      <c r="D353" s="36"/>
      <c r="E353" s="81"/>
      <c r="F353" s="81"/>
      <c r="G353" s="81"/>
      <c r="H353" s="81"/>
      <c r="I353" s="81"/>
      <c r="J353" s="81"/>
      <c r="K353" s="81"/>
      <c r="L353" s="81"/>
      <c r="M353" s="81"/>
      <c r="N353" s="82"/>
      <c r="O353" s="164"/>
    </row>
    <row r="354" spans="1:15" x14ac:dyDescent="0.25">
      <c r="A354" s="131" t="s">
        <v>233</v>
      </c>
      <c r="B354" s="75" t="s">
        <v>158</v>
      </c>
      <c r="C354" s="36" t="s">
        <v>43</v>
      </c>
      <c r="D354" s="36"/>
      <c r="E354" s="166"/>
      <c r="F354" s="166"/>
      <c r="G354" s="166"/>
      <c r="H354" s="166"/>
      <c r="I354" s="166"/>
      <c r="J354" s="166"/>
      <c r="K354" s="166"/>
      <c r="L354" s="166"/>
      <c r="M354" s="166"/>
      <c r="N354" s="166"/>
      <c r="O354" s="164"/>
    </row>
    <row r="355" spans="1:15" x14ac:dyDescent="0.25">
      <c r="A355" s="131" t="s">
        <v>234</v>
      </c>
      <c r="B355" s="75" t="s">
        <v>129</v>
      </c>
      <c r="C355" s="36" t="s">
        <v>45</v>
      </c>
      <c r="D355" s="36"/>
      <c r="E355" s="172"/>
      <c r="F355" s="172"/>
      <c r="G355" s="172"/>
      <c r="H355" s="172"/>
      <c r="I355" s="172"/>
      <c r="J355" s="172"/>
      <c r="K355" s="172"/>
      <c r="L355" s="172"/>
      <c r="M355" s="172"/>
      <c r="N355" s="172"/>
      <c r="O355" s="164"/>
    </row>
    <row r="356" spans="1:15" x14ac:dyDescent="0.25">
      <c r="A356" s="33"/>
      <c r="B356" s="73" t="s">
        <v>523</v>
      </c>
      <c r="C356" s="36"/>
      <c r="D356" s="36"/>
      <c r="E356" s="81"/>
      <c r="F356" s="81"/>
      <c r="G356" s="81"/>
      <c r="H356" s="81"/>
      <c r="I356" s="81"/>
      <c r="J356" s="81"/>
      <c r="K356" s="81"/>
      <c r="L356" s="81"/>
      <c r="M356" s="81"/>
      <c r="N356" s="82"/>
      <c r="O356" s="164"/>
    </row>
    <row r="357" spans="1:15" x14ac:dyDescent="0.25">
      <c r="A357" s="131" t="s">
        <v>233</v>
      </c>
      <c r="B357" s="75" t="s">
        <v>158</v>
      </c>
      <c r="C357" s="36" t="s">
        <v>43</v>
      </c>
      <c r="D357" s="36"/>
      <c r="E357" s="166"/>
      <c r="F357" s="166"/>
      <c r="G357" s="166"/>
      <c r="H357" s="166"/>
      <c r="I357" s="166"/>
      <c r="J357" s="166"/>
      <c r="K357" s="166"/>
      <c r="L357" s="166"/>
      <c r="M357" s="166"/>
      <c r="N357" s="166"/>
      <c r="O357" s="164"/>
    </row>
    <row r="358" spans="1:15" x14ac:dyDescent="0.25">
      <c r="A358" s="131" t="s">
        <v>234</v>
      </c>
      <c r="B358" s="75" t="s">
        <v>129</v>
      </c>
      <c r="C358" s="36" t="s">
        <v>45</v>
      </c>
      <c r="D358" s="36"/>
      <c r="E358" s="172"/>
      <c r="F358" s="172"/>
      <c r="G358" s="172"/>
      <c r="H358" s="172"/>
      <c r="I358" s="172"/>
      <c r="J358" s="172"/>
      <c r="K358" s="172"/>
      <c r="L358" s="172"/>
      <c r="M358" s="172"/>
      <c r="N358" s="172"/>
      <c r="O358" s="164"/>
    </row>
  </sheetData>
  <sheetProtection algorithmName="SHA-512" hashValue="56cm2gfHuTbHn/IAzJx0qcB+eQ05qvqg9zDEqMg0tsC8QM614NRrbmqQIKL96r8g38hqyoFOTmN89k6gOwXvmQ==" saltValue="a5+xJGvFt22F7UZPoCJv2Q==" spinCount="100000" sheet="1" objects="1" scenarios="1"/>
  <protectedRanges>
    <protectedRange sqref="O4" name="Intervalo1"/>
  </protectedRanges>
  <mergeCells count="65">
    <mergeCell ref="D280:D281"/>
    <mergeCell ref="D283:D284"/>
    <mergeCell ref="D286:D287"/>
    <mergeCell ref="D289:D290"/>
    <mergeCell ref="D292:D293"/>
    <mergeCell ref="D264:D265"/>
    <mergeCell ref="D267:D268"/>
    <mergeCell ref="D271:D272"/>
    <mergeCell ref="D274:D275"/>
    <mergeCell ref="D277:D278"/>
    <mergeCell ref="D249:D250"/>
    <mergeCell ref="D252:D253"/>
    <mergeCell ref="D255:D256"/>
    <mergeCell ref="D258:D259"/>
    <mergeCell ref="D261:D262"/>
    <mergeCell ref="D201:D202"/>
    <mergeCell ref="D240:D241"/>
    <mergeCell ref="D243:D244"/>
    <mergeCell ref="D246:D247"/>
    <mergeCell ref="D220:D221"/>
    <mergeCell ref="D223:D224"/>
    <mergeCell ref="D226:D227"/>
    <mergeCell ref="D217:D218"/>
    <mergeCell ref="D186:D187"/>
    <mergeCell ref="D189:D190"/>
    <mergeCell ref="D192:D193"/>
    <mergeCell ref="D195:D196"/>
    <mergeCell ref="D198:D199"/>
    <mergeCell ref="D21:D22"/>
    <mergeCell ref="D24:D25"/>
    <mergeCell ref="D137:D138"/>
    <mergeCell ref="D140:D141"/>
    <mergeCell ref="D143:D144"/>
    <mergeCell ref="D27:D28"/>
    <mergeCell ref="D30:D31"/>
    <mergeCell ref="D33:D34"/>
    <mergeCell ref="D36:D37"/>
    <mergeCell ref="D39:D40"/>
    <mergeCell ref="D133:D134"/>
    <mergeCell ref="D146:D147"/>
    <mergeCell ref="D149:D150"/>
    <mergeCell ref="D171:D172"/>
    <mergeCell ref="D174:D175"/>
    <mergeCell ref="D177:D178"/>
    <mergeCell ref="D180:D181"/>
    <mergeCell ref="D152:D153"/>
    <mergeCell ref="D155:D156"/>
    <mergeCell ref="D158:D159"/>
    <mergeCell ref="D183:D184"/>
    <mergeCell ref="A1:O1"/>
    <mergeCell ref="D205:D206"/>
    <mergeCell ref="D208:D209"/>
    <mergeCell ref="D211:D212"/>
    <mergeCell ref="D214:D215"/>
    <mergeCell ref="D55:D56"/>
    <mergeCell ref="D58:D59"/>
    <mergeCell ref="D61:D62"/>
    <mergeCell ref="D64:D65"/>
    <mergeCell ref="D43:D44"/>
    <mergeCell ref="D46:D47"/>
    <mergeCell ref="D49:D50"/>
    <mergeCell ref="D52:D53"/>
    <mergeCell ref="D12:D13"/>
    <mergeCell ref="D15:D16"/>
    <mergeCell ref="D18:D19"/>
  </mergeCells>
  <phoneticPr fontId="32" type="noConversion"/>
  <pageMargins left="0.70866141732283472" right="0.70866141732283472" top="0.74803149606299213" bottom="0.74803149606299213" header="0.31496062992125984" footer="0.31496062992125984"/>
  <pageSetup paperSize="9" scale="10" orientation="landscape" r:id="rId1"/>
  <legacyDrawing r:id="rId2"/>
  <extLst>
    <ext xmlns:x14="http://schemas.microsoft.com/office/spreadsheetml/2009/9/main" uri="{CCE6A557-97BC-4b89-ADB6-D9C93CAAB3DF}">
      <x14:dataValidations xmlns:xm="http://schemas.microsoft.com/office/excel/2006/main" xWindow="550" yWindow="771" count="3">
        <x14:dataValidation type="list" allowBlank="1" showInputMessage="1" showErrorMessage="1" xr:uid="{00000000-0002-0000-0300-000000000000}">
          <x14:formula1>
            <xm:f>Lista!$A$109:$A$111</xm:f>
          </x14:formula1>
          <xm:sqref>D137:D138 D158:D159 D152:D153 D149:D150 D146:D147 D143:D144 D140:D141 D155:D156</xm:sqref>
        </x14:dataValidation>
        <x14:dataValidation type="list" allowBlank="1" showInputMessage="1" showErrorMessage="1" xr:uid="{00000000-0002-0000-0300-000001000000}">
          <x14:formula1>
            <xm:f>Lista!$A$139:$A$142</xm:f>
          </x14:formula1>
          <xm:sqref>D198:D199 D201:D202 D195:D196 D192:D193 D189:D190 D186:D187 D183:D184 D180:D181 D177:D178 D174:D175 D171:D172</xm:sqref>
        </x14:dataValidation>
        <x14:dataValidation type="list" allowBlank="1" showInputMessage="1" showErrorMessage="1" xr:uid="{00000000-0002-0000-0300-000002000000}">
          <x14:formula1>
            <xm:f>Lista!$A$187:$A$189</xm:f>
          </x14:formula1>
          <xm:sqref>D133:D134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AA216"/>
  <sheetViews>
    <sheetView showGridLines="0" zoomScaleNormal="100" workbookViewId="0">
      <pane xSplit="3" ySplit="2" topLeftCell="D73" activePane="bottomRight" state="frozen"/>
      <selection pane="topRight" activeCell="D1" sqref="D1"/>
      <selection pane="bottomLeft" activeCell="A3" sqref="A3"/>
      <selection pane="bottomRight" activeCell="F93" sqref="F93"/>
    </sheetView>
  </sheetViews>
  <sheetFormatPr defaultColWidth="8.85546875" defaultRowHeight="15" x14ac:dyDescent="0.25"/>
  <cols>
    <col min="1" max="1" width="9.140625" style="101" bestFit="1" customWidth="1"/>
    <col min="2" max="2" width="72.140625" style="101" customWidth="1"/>
    <col min="3" max="3" width="8.5703125" style="101" bestFit="1" customWidth="1"/>
    <col min="4" max="4" width="70.85546875" style="101" customWidth="1"/>
    <col min="5" max="5" width="12.140625" style="101" bestFit="1" customWidth="1"/>
    <col min="6" max="6" width="11.5703125" style="101" bestFit="1" customWidth="1"/>
    <col min="7" max="7" width="11.28515625" style="101" bestFit="1" customWidth="1"/>
    <col min="8" max="8" width="10.85546875" style="101" bestFit="1" customWidth="1"/>
    <col min="9" max="9" width="10.85546875" style="101" customWidth="1"/>
    <col min="10" max="10" width="10.85546875" style="101" bestFit="1" customWidth="1"/>
    <col min="11" max="12" width="10.85546875" style="101" customWidth="1"/>
    <col min="13" max="15" width="10.85546875" style="101" bestFit="1" customWidth="1"/>
    <col min="16" max="16" width="90.7109375" style="101" customWidth="1"/>
    <col min="17" max="17" width="10.42578125" style="101" bestFit="1" customWidth="1"/>
    <col min="18" max="19" width="8.85546875" style="101"/>
    <col min="20" max="20" width="13.28515625" style="101" bestFit="1" customWidth="1"/>
    <col min="21" max="16384" width="8.85546875" style="101"/>
  </cols>
  <sheetData>
    <row r="1" spans="1:16" ht="18.75" x14ac:dyDescent="0.25">
      <c r="A1" s="370" t="s">
        <v>412</v>
      </c>
      <c r="B1" s="370"/>
      <c r="C1" s="370"/>
      <c r="D1" s="370"/>
      <c r="E1" s="370"/>
      <c r="F1" s="370"/>
      <c r="G1" s="370"/>
      <c r="H1" s="370"/>
      <c r="I1" s="370"/>
      <c r="J1" s="370"/>
      <c r="K1" s="370"/>
      <c r="L1" s="370"/>
      <c r="M1" s="370"/>
      <c r="N1" s="370"/>
      <c r="O1" s="370"/>
      <c r="P1" s="370"/>
    </row>
    <row r="2" spans="1:16" x14ac:dyDescent="0.25">
      <c r="A2" s="65" t="s">
        <v>99</v>
      </c>
      <c r="B2" s="65" t="s">
        <v>436</v>
      </c>
      <c r="C2" s="66" t="s">
        <v>7</v>
      </c>
      <c r="D2" s="66" t="s">
        <v>9</v>
      </c>
      <c r="E2" s="67">
        <v>2019</v>
      </c>
      <c r="F2" s="67">
        <v>2021</v>
      </c>
      <c r="G2" s="67">
        <v>2022</v>
      </c>
      <c r="H2" s="67">
        <v>2023</v>
      </c>
      <c r="I2" s="67">
        <v>2024</v>
      </c>
      <c r="J2" s="67">
        <v>2025</v>
      </c>
      <c r="K2" s="67">
        <v>2026</v>
      </c>
      <c r="L2" s="67">
        <v>2027</v>
      </c>
      <c r="M2" s="67">
        <v>2028</v>
      </c>
      <c r="N2" s="67">
        <v>2029</v>
      </c>
      <c r="O2" s="67">
        <v>2030</v>
      </c>
      <c r="P2" s="67" t="s">
        <v>71</v>
      </c>
    </row>
    <row r="3" spans="1:16" x14ac:dyDescent="0.25">
      <c r="A3" s="133" t="s">
        <v>97</v>
      </c>
      <c r="B3" s="48" t="s">
        <v>5</v>
      </c>
      <c r="C3" s="48"/>
      <c r="D3" s="48"/>
      <c r="E3" s="48"/>
      <c r="F3" s="48"/>
      <c r="G3" s="48"/>
      <c r="H3" s="48"/>
      <c r="I3" s="48"/>
      <c r="J3" s="48"/>
      <c r="K3" s="48"/>
      <c r="L3" s="48"/>
      <c r="M3" s="48"/>
      <c r="N3" s="48"/>
      <c r="O3" s="48"/>
      <c r="P3" s="48"/>
    </row>
    <row r="4" spans="1:16" x14ac:dyDescent="0.25">
      <c r="A4" s="49" t="s">
        <v>88</v>
      </c>
      <c r="B4" s="56" t="s">
        <v>77</v>
      </c>
      <c r="C4" s="55" t="s">
        <v>8</v>
      </c>
      <c r="D4" s="63"/>
      <c r="E4" s="174"/>
      <c r="F4" s="4">
        <f>IFERROR(Lista!D3+('Input Técnico'!F5*Lista!D3),0)</f>
        <v>0</v>
      </c>
      <c r="G4" s="4">
        <f>IFERROR(F4+(G5*F4),0)</f>
        <v>0</v>
      </c>
      <c r="H4" s="4">
        <f t="shared" ref="H4:O4" si="0">IFERROR(G4+(H5*G4),0)</f>
        <v>0</v>
      </c>
      <c r="I4" s="4">
        <f t="shared" si="0"/>
        <v>0</v>
      </c>
      <c r="J4" s="4">
        <f t="shared" si="0"/>
        <v>0</v>
      </c>
      <c r="K4" s="4">
        <f t="shared" si="0"/>
        <v>0</v>
      </c>
      <c r="L4" s="4">
        <f t="shared" si="0"/>
        <v>0</v>
      </c>
      <c r="M4" s="4">
        <f t="shared" si="0"/>
        <v>0</v>
      </c>
      <c r="N4" s="4">
        <f t="shared" si="0"/>
        <v>0</v>
      </c>
      <c r="O4" s="4">
        <f t="shared" si="0"/>
        <v>0</v>
      </c>
      <c r="P4" s="173"/>
    </row>
    <row r="5" spans="1:16" x14ac:dyDescent="0.25">
      <c r="A5" s="49" t="s">
        <v>89</v>
      </c>
      <c r="B5" s="56" t="s">
        <v>163</v>
      </c>
      <c r="C5" s="55" t="s">
        <v>12</v>
      </c>
      <c r="D5" s="175" t="s">
        <v>193</v>
      </c>
      <c r="E5" s="55"/>
      <c r="F5" s="64">
        <f>IFERROR(IF($D$5="Norte",Lista!E5,IF('Input Técnico'!$D$5="Centro",Lista!E6,IF('Input Técnico'!$D$5="Área Metropolitana de Lisboa",Lista!E7,IF('Input Técnico'!$D$5="Alentejo",Lista!E8,IF('Input Técnico'!$D$5="Algarve",Lista!E9,IF('Input Técnico'!$D$5="Valor proposto pelo município",Auxilar!G4,0)))))),0)</f>
        <v>0</v>
      </c>
      <c r="G5" s="64">
        <f>IFERROR(IF($D$5="Norte",Lista!F5,IF('Input Técnico'!$D$5="Centro",Lista!F6,IF('Input Técnico'!$D$5="Área Metropolitana de Lisboa",Lista!F7,IF('Input Técnico'!$D$5="Alentejo",Lista!F8,IF('Input Técnico'!$D$5="Algarve",Lista!F9,IF('Input Técnico'!$D$5="Valor proposto pelo município",Auxilar!H4,0)))))),0)</f>
        <v>0</v>
      </c>
      <c r="H5" s="64">
        <f>IFERROR(IF($D$5="Norte",Lista!G5,IF('Input Técnico'!$D$5="Centro",Lista!G6,IF('Input Técnico'!$D$5="Área Metropolitana de Lisboa",Lista!G7,IF('Input Técnico'!$D$5="Alentejo",Lista!G8,IF('Input Técnico'!$D$5="Algarve",Lista!G9,IF('Input Técnico'!$D$5="Valor proposto pelo município",Auxilar!I4,0)))))),0)</f>
        <v>0</v>
      </c>
      <c r="I5" s="64">
        <f>IFERROR(IF($D$5="Norte",Lista!H5,IF('Input Técnico'!$D$5="Centro",Lista!H6,IF('Input Técnico'!$D$5="Área Metropolitana de Lisboa",Lista!H7,IF('Input Técnico'!$D$5="Alentejo",Lista!H8,IF('Input Técnico'!$D$5="Algarve",Lista!H9,IF('Input Técnico'!$D$5="Valor proposto pelo município",Auxilar!J4,0)))))),0)</f>
        <v>0</v>
      </c>
      <c r="J5" s="64">
        <f>IFERROR(IF($D$5="Norte",Lista!I5,IF('Input Técnico'!$D$5="Centro",Lista!I6,IF('Input Técnico'!$D$5="Área Metropolitana de Lisboa",Lista!I7,IF('Input Técnico'!$D$5="Alentejo",Lista!I8,IF('Input Técnico'!$D$5="Algarve",Lista!I9,IF('Input Técnico'!$D$5="Valor proposto pelo município",Auxilar!K4,0)))))),0)</f>
        <v>0</v>
      </c>
      <c r="K5" s="64">
        <f>IFERROR(IF($D$5="Norte",Lista!J5,IF('Input Técnico'!$D$5="Centro",Lista!J6,IF('Input Técnico'!$D$5="Área Metropolitana de Lisboa",Lista!J7,IF('Input Técnico'!$D$5="Alentejo",Lista!J8,IF('Input Técnico'!$D$5="Algarve",Lista!J9,IF('Input Técnico'!$D$5="Valor proposto pelo município",Auxilar!L4,0)))))),0)</f>
        <v>0</v>
      </c>
      <c r="L5" s="64">
        <f>IFERROR(IF($D$5="Norte",Lista!K5,IF('Input Técnico'!$D$5="Centro",Lista!K6,IF('Input Técnico'!$D$5="Área Metropolitana de Lisboa",Lista!K7,IF('Input Técnico'!$D$5="Alentejo",Lista!K8,IF('Input Técnico'!$D$5="Algarve",Lista!K9,IF('Input Técnico'!$D$5="Valor proposto pelo município",Auxilar!M4,0)))))),0)</f>
        <v>0</v>
      </c>
      <c r="M5" s="64">
        <f>IFERROR(IF($D$5="Norte",Lista!L5,IF('Input Técnico'!$D$5="Centro",Lista!L6,IF('Input Técnico'!$D$5="Área Metropolitana de Lisboa",Lista!L7,IF('Input Técnico'!$D$5="Alentejo",Lista!L8,IF('Input Técnico'!$D$5="Algarve",Lista!L9,IF('Input Técnico'!$D$5="Valor proposto pelo município",Auxilar!N4,0)))))),0)</f>
        <v>0</v>
      </c>
      <c r="N5" s="64">
        <f>IFERROR(IF($D$5="Norte",Lista!M5,IF('Input Técnico'!$D$5="Centro",Lista!M6,IF('Input Técnico'!$D$5="Área Metropolitana de Lisboa",Lista!M7,IF('Input Técnico'!$D$5="Alentejo",Lista!M8,IF('Input Técnico'!$D$5="Algarve",Lista!M9,IF('Input Técnico'!$D$5="Valor proposto pelo município",Auxilar!O4,0)))))),0)</f>
        <v>0</v>
      </c>
      <c r="O5" s="64">
        <f>IFERROR(IF($D$5="Norte",Lista!N5,IF('Input Técnico'!$D$5="Centro",Lista!N6,IF('Input Técnico'!$D$5="Área Metropolitana de Lisboa",Lista!N7,IF('Input Técnico'!$D$5="Alentejo",Lista!N8,IF('Input Técnico'!$D$5="Algarve",Lista!N9,IF('Input Técnico'!$D$5="Valor proposto pelo município",Auxilar!P4,0)))))),0)</f>
        <v>0</v>
      </c>
      <c r="P5" s="173"/>
    </row>
    <row r="6" spans="1:16" x14ac:dyDescent="0.25">
      <c r="A6" s="133" t="s">
        <v>84</v>
      </c>
      <c r="B6" s="48" t="s">
        <v>40</v>
      </c>
      <c r="C6" s="48"/>
      <c r="D6" s="48"/>
      <c r="E6" s="48"/>
      <c r="F6" s="48"/>
      <c r="G6" s="48"/>
      <c r="H6" s="48"/>
      <c r="I6" s="48"/>
      <c r="J6" s="48"/>
      <c r="K6" s="48"/>
      <c r="L6" s="48"/>
      <c r="M6" s="48"/>
      <c r="N6" s="48"/>
      <c r="O6" s="48"/>
      <c r="P6" s="48"/>
    </row>
    <row r="7" spans="1:16" x14ac:dyDescent="0.25">
      <c r="A7" s="49" t="s">
        <v>92</v>
      </c>
      <c r="B7" s="56" t="s">
        <v>59</v>
      </c>
      <c r="C7" s="55" t="s">
        <v>14</v>
      </c>
      <c r="D7" s="61"/>
      <c r="E7" s="174"/>
      <c r="F7" s="4">
        <f>E7</f>
        <v>0</v>
      </c>
      <c r="G7" s="4">
        <f t="shared" ref="G7:O7" si="1">F7</f>
        <v>0</v>
      </c>
      <c r="H7" s="4">
        <f t="shared" si="1"/>
        <v>0</v>
      </c>
      <c r="I7" s="4">
        <f t="shared" si="1"/>
        <v>0</v>
      </c>
      <c r="J7" s="4">
        <f t="shared" si="1"/>
        <v>0</v>
      </c>
      <c r="K7" s="4">
        <f t="shared" si="1"/>
        <v>0</v>
      </c>
      <c r="L7" s="4">
        <f t="shared" si="1"/>
        <v>0</v>
      </c>
      <c r="M7" s="4">
        <f t="shared" si="1"/>
        <v>0</v>
      </c>
      <c r="N7" s="4">
        <f t="shared" si="1"/>
        <v>0</v>
      </c>
      <c r="O7" s="4">
        <f t="shared" si="1"/>
        <v>0</v>
      </c>
      <c r="P7" s="173"/>
    </row>
    <row r="8" spans="1:16" x14ac:dyDescent="0.25">
      <c r="A8" s="49" t="s">
        <v>229</v>
      </c>
      <c r="B8" s="56" t="s">
        <v>683</v>
      </c>
      <c r="C8" s="55" t="s">
        <v>14</v>
      </c>
      <c r="D8" s="61"/>
      <c r="E8" s="274">
        <f>IFERROR(E4/E7,0)</f>
        <v>0</v>
      </c>
      <c r="F8" s="274">
        <f t="shared" ref="F8:O8" si="2">IFERROR(F4/F7,0)</f>
        <v>0</v>
      </c>
      <c r="G8" s="274">
        <f t="shared" si="2"/>
        <v>0</v>
      </c>
      <c r="H8" s="274">
        <f>IFERROR(H4/H7,0)</f>
        <v>0</v>
      </c>
      <c r="I8" s="274">
        <f t="shared" si="2"/>
        <v>0</v>
      </c>
      <c r="J8" s="274">
        <f t="shared" si="2"/>
        <v>0</v>
      </c>
      <c r="K8" s="274">
        <f t="shared" si="2"/>
        <v>0</v>
      </c>
      <c r="L8" s="274">
        <f t="shared" si="2"/>
        <v>0</v>
      </c>
      <c r="M8" s="274">
        <f t="shared" si="2"/>
        <v>0</v>
      </c>
      <c r="N8" s="274">
        <f t="shared" si="2"/>
        <v>0</v>
      </c>
      <c r="O8" s="274">
        <f t="shared" si="2"/>
        <v>0</v>
      </c>
      <c r="P8" s="173"/>
    </row>
    <row r="9" spans="1:16" x14ac:dyDescent="0.25">
      <c r="A9" s="133" t="s">
        <v>85</v>
      </c>
      <c r="B9" s="48" t="s">
        <v>101</v>
      </c>
      <c r="C9" s="48"/>
      <c r="D9" s="48"/>
      <c r="E9" s="48"/>
      <c r="F9" s="48"/>
      <c r="G9" s="48"/>
      <c r="H9" s="48"/>
      <c r="I9" s="48"/>
      <c r="J9" s="48"/>
      <c r="K9" s="48"/>
      <c r="L9" s="48"/>
      <c r="M9" s="48"/>
      <c r="N9" s="48"/>
      <c r="O9" s="48"/>
      <c r="P9" s="48"/>
    </row>
    <row r="10" spans="1:16" x14ac:dyDescent="0.25">
      <c r="A10" s="49" t="s">
        <v>238</v>
      </c>
      <c r="B10" s="56" t="s">
        <v>66</v>
      </c>
      <c r="C10" s="55" t="s">
        <v>14</v>
      </c>
      <c r="D10" s="49"/>
      <c r="E10" s="4">
        <f t="shared" ref="E10:O10" si="3">SUM(E11:E12)</f>
        <v>0</v>
      </c>
      <c r="F10" s="4">
        <f t="shared" si="3"/>
        <v>0</v>
      </c>
      <c r="G10" s="4">
        <f t="shared" si="3"/>
        <v>0</v>
      </c>
      <c r="H10" s="4">
        <f t="shared" si="3"/>
        <v>0</v>
      </c>
      <c r="I10" s="4">
        <f t="shared" si="3"/>
        <v>0</v>
      </c>
      <c r="J10" s="4">
        <f t="shared" si="3"/>
        <v>0</v>
      </c>
      <c r="K10" s="4">
        <f t="shared" si="3"/>
        <v>0</v>
      </c>
      <c r="L10" s="4">
        <f t="shared" si="3"/>
        <v>0</v>
      </c>
      <c r="M10" s="4">
        <f t="shared" si="3"/>
        <v>0</v>
      </c>
      <c r="N10" s="4">
        <f t="shared" si="3"/>
        <v>0</v>
      </c>
      <c r="O10" s="4">
        <f t="shared" si="3"/>
        <v>0</v>
      </c>
      <c r="P10" s="173"/>
    </row>
    <row r="11" spans="1:16" x14ac:dyDescent="0.25">
      <c r="A11" s="49" t="s">
        <v>239</v>
      </c>
      <c r="B11" s="59" t="s">
        <v>443</v>
      </c>
      <c r="C11" s="55" t="s">
        <v>14</v>
      </c>
      <c r="D11" s="49"/>
      <c r="E11" s="174"/>
      <c r="F11" s="174"/>
      <c r="G11" s="174"/>
      <c r="H11" s="174"/>
      <c r="I11" s="174"/>
      <c r="J11" s="174"/>
      <c r="K11" s="174"/>
      <c r="L11" s="174"/>
      <c r="M11" s="174"/>
      <c r="N11" s="174"/>
      <c r="O11" s="174"/>
      <c r="P11" s="173"/>
    </row>
    <row r="12" spans="1:16" x14ac:dyDescent="0.25">
      <c r="A12" s="49" t="s">
        <v>240</v>
      </c>
      <c r="B12" s="59" t="s">
        <v>463</v>
      </c>
      <c r="C12" s="55" t="s">
        <v>14</v>
      </c>
      <c r="D12" s="49"/>
      <c r="E12" s="174"/>
      <c r="F12" s="174"/>
      <c r="G12" s="174"/>
      <c r="H12" s="174"/>
      <c r="I12" s="174"/>
      <c r="J12" s="174"/>
      <c r="K12" s="174"/>
      <c r="L12" s="174"/>
      <c r="M12" s="174"/>
      <c r="N12" s="174"/>
      <c r="O12" s="174"/>
      <c r="P12" s="173"/>
    </row>
    <row r="13" spans="1:16" x14ac:dyDescent="0.25">
      <c r="A13" s="133" t="s">
        <v>689</v>
      </c>
      <c r="B13" s="48" t="s">
        <v>102</v>
      </c>
      <c r="C13" s="48"/>
      <c r="D13" s="48"/>
      <c r="E13" s="48"/>
      <c r="F13" s="48"/>
      <c r="G13" s="48"/>
      <c r="H13" s="48"/>
      <c r="I13" s="48"/>
      <c r="J13" s="48"/>
      <c r="K13" s="48"/>
      <c r="L13" s="48"/>
      <c r="M13" s="48"/>
      <c r="N13" s="48"/>
      <c r="O13" s="48"/>
      <c r="P13" s="48"/>
    </row>
    <row r="14" spans="1:16" x14ac:dyDescent="0.25">
      <c r="A14" s="202" t="s">
        <v>231</v>
      </c>
      <c r="B14" s="203" t="s">
        <v>587</v>
      </c>
      <c r="C14" s="184" t="s">
        <v>13</v>
      </c>
      <c r="D14" s="184"/>
      <c r="E14" s="184">
        <f>E15</f>
        <v>0</v>
      </c>
      <c r="F14" s="184">
        <f t="shared" ref="F14:O14" si="4">F15</f>
        <v>0</v>
      </c>
      <c r="G14" s="184">
        <f t="shared" si="4"/>
        <v>0</v>
      </c>
      <c r="H14" s="184">
        <f t="shared" si="4"/>
        <v>0</v>
      </c>
      <c r="I14" s="184">
        <f t="shared" si="4"/>
        <v>0</v>
      </c>
      <c r="J14" s="184">
        <f t="shared" si="4"/>
        <v>0</v>
      </c>
      <c r="K14" s="184">
        <f t="shared" si="4"/>
        <v>0</v>
      </c>
      <c r="L14" s="184">
        <f t="shared" si="4"/>
        <v>0</v>
      </c>
      <c r="M14" s="184">
        <f t="shared" si="4"/>
        <v>0</v>
      </c>
      <c r="N14" s="184">
        <f t="shared" si="4"/>
        <v>0</v>
      </c>
      <c r="O14" s="184">
        <f t="shared" si="4"/>
        <v>0</v>
      </c>
      <c r="P14" s="184"/>
    </row>
    <row r="15" spans="1:16" x14ac:dyDescent="0.25">
      <c r="A15" s="49" t="s">
        <v>459</v>
      </c>
      <c r="B15" s="59" t="s">
        <v>588</v>
      </c>
      <c r="C15" s="55" t="s">
        <v>13</v>
      </c>
      <c r="D15" s="63"/>
      <c r="E15" s="174"/>
      <c r="F15" s="62">
        <f t="shared" ref="F15:O15" si="5">IFERROR(($E$15/$E$4)*F4,0)</f>
        <v>0</v>
      </c>
      <c r="G15" s="62">
        <f t="shared" si="5"/>
        <v>0</v>
      </c>
      <c r="H15" s="62">
        <f t="shared" si="5"/>
        <v>0</v>
      </c>
      <c r="I15" s="62">
        <f t="shared" si="5"/>
        <v>0</v>
      </c>
      <c r="J15" s="62">
        <f t="shared" si="5"/>
        <v>0</v>
      </c>
      <c r="K15" s="62">
        <f t="shared" si="5"/>
        <v>0</v>
      </c>
      <c r="L15" s="62">
        <f t="shared" si="5"/>
        <v>0</v>
      </c>
      <c r="M15" s="62">
        <f t="shared" si="5"/>
        <v>0</v>
      </c>
      <c r="N15" s="62">
        <f t="shared" si="5"/>
        <v>0</v>
      </c>
      <c r="O15" s="62">
        <f t="shared" si="5"/>
        <v>0</v>
      </c>
      <c r="P15" s="287"/>
    </row>
    <row r="16" spans="1:16" x14ac:dyDescent="0.25">
      <c r="A16" s="183" t="s">
        <v>232</v>
      </c>
      <c r="B16" s="161" t="s">
        <v>589</v>
      </c>
      <c r="C16" s="44" t="s">
        <v>13</v>
      </c>
      <c r="D16" s="183"/>
      <c r="E16" s="204">
        <f>E17</f>
        <v>0</v>
      </c>
      <c r="F16" s="204">
        <f t="shared" ref="F16:O16" si="6">F17</f>
        <v>0</v>
      </c>
      <c r="G16" s="204">
        <f t="shared" si="6"/>
        <v>0</v>
      </c>
      <c r="H16" s="204">
        <f t="shared" si="6"/>
        <v>0</v>
      </c>
      <c r="I16" s="204">
        <f t="shared" si="6"/>
        <v>0</v>
      </c>
      <c r="J16" s="204">
        <f t="shared" si="6"/>
        <v>0</v>
      </c>
      <c r="K16" s="204">
        <f t="shared" si="6"/>
        <v>0</v>
      </c>
      <c r="L16" s="204">
        <f t="shared" si="6"/>
        <v>0</v>
      </c>
      <c r="M16" s="204">
        <f t="shared" si="6"/>
        <v>0</v>
      </c>
      <c r="N16" s="204">
        <f t="shared" si="6"/>
        <v>0</v>
      </c>
      <c r="O16" s="204">
        <f t="shared" si="6"/>
        <v>0</v>
      </c>
      <c r="P16" s="184"/>
    </row>
    <row r="17" spans="1:16" x14ac:dyDescent="0.25">
      <c r="A17" s="49" t="s">
        <v>241</v>
      </c>
      <c r="B17" s="59" t="s">
        <v>638</v>
      </c>
      <c r="C17" s="55" t="s">
        <v>13</v>
      </c>
      <c r="D17" s="49"/>
      <c r="E17" s="174"/>
      <c r="F17" s="4">
        <f>IF(((IFERROR(($E$17/$E$4)*F4,0))-($E$18+$E$19)+(F18+F19))&lt;0,0,((IFERROR(($E$17/$E$4)*F4,0))-($E$18+$E$19)+(F18+F19)))</f>
        <v>0</v>
      </c>
      <c r="G17" s="4">
        <f t="shared" ref="G17:O17" si="7">IF(((IFERROR(($E$17/$E$4)*G4,0))-($E$18+$E$19)+(G18+G19))&lt;0,0,((IFERROR(($E$17/$E$4)*G4,0))-($E$18+$E$19)+(G18+G19)))</f>
        <v>0</v>
      </c>
      <c r="H17" s="4">
        <f t="shared" si="7"/>
        <v>0</v>
      </c>
      <c r="I17" s="4">
        <f t="shared" si="7"/>
        <v>0</v>
      </c>
      <c r="J17" s="4">
        <f t="shared" si="7"/>
        <v>0</v>
      </c>
      <c r="K17" s="4">
        <f t="shared" si="7"/>
        <v>0</v>
      </c>
      <c r="L17" s="4">
        <f t="shared" si="7"/>
        <v>0</v>
      </c>
      <c r="M17" s="4">
        <f t="shared" si="7"/>
        <v>0</v>
      </c>
      <c r="N17" s="4">
        <f t="shared" si="7"/>
        <v>0</v>
      </c>
      <c r="O17" s="4">
        <f t="shared" si="7"/>
        <v>0</v>
      </c>
      <c r="P17" s="286"/>
    </row>
    <row r="18" spans="1:16" x14ac:dyDescent="0.25">
      <c r="A18" s="49" t="s">
        <v>242</v>
      </c>
      <c r="B18" s="60" t="s">
        <v>63</v>
      </c>
      <c r="C18" s="55" t="s">
        <v>13</v>
      </c>
      <c r="D18" s="176" t="s">
        <v>110</v>
      </c>
      <c r="E18" s="62">
        <f>IFERROR((IF($D$18="Valor proposto pelo município",Auxilar!$E$7,'Input Técnico'!$D$18))*E17,0)</f>
        <v>0</v>
      </c>
      <c r="F18" s="62">
        <f>F23+F27+F30</f>
        <v>0</v>
      </c>
      <c r="G18" s="62">
        <f t="shared" ref="G18:O18" si="8">G23+G27+G30</f>
        <v>0</v>
      </c>
      <c r="H18" s="62">
        <f t="shared" si="8"/>
        <v>0</v>
      </c>
      <c r="I18" s="62">
        <f t="shared" si="8"/>
        <v>0</v>
      </c>
      <c r="J18" s="62">
        <f t="shared" si="8"/>
        <v>0</v>
      </c>
      <c r="K18" s="62">
        <f t="shared" si="8"/>
        <v>0</v>
      </c>
      <c r="L18" s="62">
        <f t="shared" si="8"/>
        <v>0</v>
      </c>
      <c r="M18" s="62">
        <f t="shared" si="8"/>
        <v>0</v>
      </c>
      <c r="N18" s="62">
        <f t="shared" si="8"/>
        <v>0</v>
      </c>
      <c r="O18" s="62">
        <f t="shared" si="8"/>
        <v>0</v>
      </c>
      <c r="P18" s="287"/>
    </row>
    <row r="19" spans="1:16" x14ac:dyDescent="0.25">
      <c r="A19" s="49" t="s">
        <v>243</v>
      </c>
      <c r="B19" s="60" t="s">
        <v>64</v>
      </c>
      <c r="C19" s="55" t="s">
        <v>13</v>
      </c>
      <c r="D19" s="176" t="s">
        <v>111</v>
      </c>
      <c r="E19" s="4">
        <f>IFERROR((IF($D$19="Valor proposto pelo município",Auxilar!$E$8,'Input Técnico'!$D$19))*E17,0)</f>
        <v>0</v>
      </c>
      <c r="F19" s="4">
        <f>F34</f>
        <v>0</v>
      </c>
      <c r="G19" s="4">
        <f t="shared" ref="G19:O19" si="9">G34</f>
        <v>0</v>
      </c>
      <c r="H19" s="4">
        <f t="shared" si="9"/>
        <v>0</v>
      </c>
      <c r="I19" s="4">
        <f t="shared" si="9"/>
        <v>0</v>
      </c>
      <c r="J19" s="4">
        <f t="shared" si="9"/>
        <v>0</v>
      </c>
      <c r="K19" s="4">
        <f t="shared" si="9"/>
        <v>0</v>
      </c>
      <c r="L19" s="4">
        <f t="shared" si="9"/>
        <v>0</v>
      </c>
      <c r="M19" s="4">
        <f t="shared" si="9"/>
        <v>0</v>
      </c>
      <c r="N19" s="4">
        <f t="shared" si="9"/>
        <v>0</v>
      </c>
      <c r="O19" s="4">
        <f t="shared" si="9"/>
        <v>0</v>
      </c>
      <c r="P19" s="287"/>
    </row>
    <row r="20" spans="1:16" x14ac:dyDescent="0.25">
      <c r="A20" s="183" t="s">
        <v>590</v>
      </c>
      <c r="B20" s="161" t="s">
        <v>452</v>
      </c>
      <c r="C20" s="44" t="s">
        <v>13</v>
      </c>
      <c r="D20" s="183"/>
      <c r="E20" s="184">
        <f>IFERROR(E21+E32,0)</f>
        <v>0</v>
      </c>
      <c r="F20" s="184">
        <f t="shared" ref="F20:N20" si="10">IFERROR(F21+F32,0)</f>
        <v>0</v>
      </c>
      <c r="G20" s="184">
        <f t="shared" si="10"/>
        <v>0</v>
      </c>
      <c r="H20" s="184">
        <f t="shared" si="10"/>
        <v>0</v>
      </c>
      <c r="I20" s="184">
        <f t="shared" si="10"/>
        <v>0</v>
      </c>
      <c r="J20" s="184">
        <f t="shared" si="10"/>
        <v>0</v>
      </c>
      <c r="K20" s="184">
        <f t="shared" si="10"/>
        <v>0</v>
      </c>
      <c r="L20" s="184">
        <f t="shared" si="10"/>
        <v>0</v>
      </c>
      <c r="M20" s="184">
        <f t="shared" si="10"/>
        <v>0</v>
      </c>
      <c r="N20" s="184">
        <f t="shared" si="10"/>
        <v>0</v>
      </c>
      <c r="O20" s="184">
        <f>IFERROR(O21+O32,0)</f>
        <v>0</v>
      </c>
      <c r="P20" s="184"/>
    </row>
    <row r="21" spans="1:16" x14ac:dyDescent="0.25">
      <c r="A21" s="49" t="s">
        <v>615</v>
      </c>
      <c r="B21" s="59" t="s">
        <v>63</v>
      </c>
      <c r="C21" s="55" t="s">
        <v>13</v>
      </c>
      <c r="D21" s="49"/>
      <c r="E21" s="4">
        <f>IFERROR(E22+E25,0)</f>
        <v>0</v>
      </c>
      <c r="F21" s="4">
        <f t="shared" ref="F21:O21" si="11">IFERROR(F22+F25,0)</f>
        <v>0</v>
      </c>
      <c r="G21" s="4">
        <f t="shared" si="11"/>
        <v>0</v>
      </c>
      <c r="H21" s="4">
        <f t="shared" si="11"/>
        <v>0</v>
      </c>
      <c r="I21" s="4">
        <f t="shared" si="11"/>
        <v>0</v>
      </c>
      <c r="J21" s="4">
        <f t="shared" si="11"/>
        <v>0</v>
      </c>
      <c r="K21" s="4">
        <f t="shared" si="11"/>
        <v>0</v>
      </c>
      <c r="L21" s="4">
        <f t="shared" si="11"/>
        <v>0</v>
      </c>
      <c r="M21" s="4">
        <f t="shared" si="11"/>
        <v>0</v>
      </c>
      <c r="N21" s="4">
        <f t="shared" si="11"/>
        <v>0</v>
      </c>
      <c r="O21" s="4">
        <f t="shared" si="11"/>
        <v>0</v>
      </c>
      <c r="P21" s="286"/>
    </row>
    <row r="22" spans="1:16" x14ac:dyDescent="0.25">
      <c r="A22" s="49" t="s">
        <v>616</v>
      </c>
      <c r="B22" s="60" t="s">
        <v>67</v>
      </c>
      <c r="C22" s="55" t="s">
        <v>13</v>
      </c>
      <c r="D22" s="49"/>
      <c r="E22" s="4">
        <f>IF((IFERROR(E23+E24,0))&lt;0,0,(IFERROR(E23+E24,0)))</f>
        <v>0</v>
      </c>
      <c r="F22" s="4">
        <f>IF((IFERROR(($E$22/$E$4)*F4,0))&lt;0,0,(IFERROR(($E$22/$E$4)*F4,0)))</f>
        <v>0</v>
      </c>
      <c r="G22" s="4">
        <f t="shared" ref="G22:O22" si="12">IF((IFERROR(($E$22/$E$4)*G4,0))&lt;0,0,(IFERROR(($E$22/$E$4)*G4,0)))</f>
        <v>0</v>
      </c>
      <c r="H22" s="4">
        <f t="shared" si="12"/>
        <v>0</v>
      </c>
      <c r="I22" s="4">
        <f t="shared" si="12"/>
        <v>0</v>
      </c>
      <c r="J22" s="4">
        <f t="shared" si="12"/>
        <v>0</v>
      </c>
      <c r="K22" s="4">
        <f t="shared" si="12"/>
        <v>0</v>
      </c>
      <c r="L22" s="4">
        <f t="shared" si="12"/>
        <v>0</v>
      </c>
      <c r="M22" s="4">
        <f t="shared" si="12"/>
        <v>0</v>
      </c>
      <c r="N22" s="4">
        <f t="shared" si="12"/>
        <v>0</v>
      </c>
      <c r="O22" s="4">
        <f t="shared" si="12"/>
        <v>0</v>
      </c>
      <c r="P22" s="286"/>
    </row>
    <row r="23" spans="1:16" x14ac:dyDescent="0.25">
      <c r="A23" s="49" t="s">
        <v>617</v>
      </c>
      <c r="B23" s="185" t="s">
        <v>453</v>
      </c>
      <c r="C23" s="55" t="s">
        <v>13</v>
      </c>
      <c r="D23" s="49"/>
      <c r="E23" s="4">
        <f>IF((IFERROR(E18-(E27+E30),0))&lt;0,0,(IFERROR(E18-(E27+E30),0)))</f>
        <v>0</v>
      </c>
      <c r="F23" s="4">
        <f>F22-F24</f>
        <v>0</v>
      </c>
      <c r="G23" s="4">
        <f t="shared" ref="G23:O23" si="13">G22-G24</f>
        <v>0</v>
      </c>
      <c r="H23" s="4">
        <f t="shared" si="13"/>
        <v>0</v>
      </c>
      <c r="I23" s="4">
        <f t="shared" si="13"/>
        <v>0</v>
      </c>
      <c r="J23" s="4">
        <f t="shared" si="13"/>
        <v>0</v>
      </c>
      <c r="K23" s="4">
        <f t="shared" si="13"/>
        <v>0</v>
      </c>
      <c r="L23" s="4">
        <f t="shared" si="13"/>
        <v>0</v>
      </c>
      <c r="M23" s="4">
        <f t="shared" si="13"/>
        <v>0</v>
      </c>
      <c r="N23" s="4">
        <f t="shared" si="13"/>
        <v>0</v>
      </c>
      <c r="O23" s="4">
        <f t="shared" si="13"/>
        <v>0</v>
      </c>
      <c r="P23" s="286"/>
    </row>
    <row r="24" spans="1:16" x14ac:dyDescent="0.25">
      <c r="A24" s="49" t="s">
        <v>618</v>
      </c>
      <c r="B24" s="185" t="s">
        <v>454</v>
      </c>
      <c r="C24" s="55" t="s">
        <v>13</v>
      </c>
      <c r="D24" s="49"/>
      <c r="E24" s="174"/>
      <c r="F24" s="273">
        <f>F113</f>
        <v>0</v>
      </c>
      <c r="G24" s="273">
        <f t="shared" ref="G24:O24" si="14">G113</f>
        <v>0</v>
      </c>
      <c r="H24" s="273">
        <f t="shared" si="14"/>
        <v>0</v>
      </c>
      <c r="I24" s="273">
        <f t="shared" si="14"/>
        <v>0</v>
      </c>
      <c r="J24" s="273">
        <f t="shared" si="14"/>
        <v>0</v>
      </c>
      <c r="K24" s="273">
        <f t="shared" si="14"/>
        <v>0</v>
      </c>
      <c r="L24" s="273">
        <f t="shared" si="14"/>
        <v>0</v>
      </c>
      <c r="M24" s="273">
        <f t="shared" si="14"/>
        <v>0</v>
      </c>
      <c r="N24" s="273">
        <f t="shared" si="14"/>
        <v>0</v>
      </c>
      <c r="O24" s="273">
        <f t="shared" si="14"/>
        <v>0</v>
      </c>
      <c r="P24" s="286"/>
    </row>
    <row r="25" spans="1:16" x14ac:dyDescent="0.25">
      <c r="A25" s="49" t="s">
        <v>619</v>
      </c>
      <c r="B25" s="60" t="s">
        <v>68</v>
      </c>
      <c r="C25" s="55" t="s">
        <v>13</v>
      </c>
      <c r="D25" s="49"/>
      <c r="E25" s="4">
        <f t="shared" ref="E25:O25" si="15">IFERROR(E26+E29,0)</f>
        <v>0</v>
      </c>
      <c r="F25" s="4">
        <f t="shared" si="15"/>
        <v>0</v>
      </c>
      <c r="G25" s="4">
        <f t="shared" si="15"/>
        <v>0</v>
      </c>
      <c r="H25" s="4">
        <f t="shared" si="15"/>
        <v>0</v>
      </c>
      <c r="I25" s="4">
        <f t="shared" si="15"/>
        <v>0</v>
      </c>
      <c r="J25" s="4">
        <f t="shared" si="15"/>
        <v>0</v>
      </c>
      <c r="K25" s="4">
        <f t="shared" si="15"/>
        <v>0</v>
      </c>
      <c r="L25" s="4">
        <f t="shared" si="15"/>
        <v>0</v>
      </c>
      <c r="M25" s="4">
        <f t="shared" si="15"/>
        <v>0</v>
      </c>
      <c r="N25" s="4">
        <f t="shared" si="15"/>
        <v>0</v>
      </c>
      <c r="O25" s="4">
        <f t="shared" si="15"/>
        <v>0</v>
      </c>
      <c r="P25" s="286"/>
    </row>
    <row r="26" spans="1:16" ht="30" x14ac:dyDescent="0.25">
      <c r="A26" s="68" t="s">
        <v>691</v>
      </c>
      <c r="B26" s="158" t="s">
        <v>443</v>
      </c>
      <c r="C26" s="55" t="s">
        <v>13</v>
      </c>
      <c r="D26" s="284" t="s">
        <v>444</v>
      </c>
      <c r="E26" s="4">
        <f>IFERROR((IF($D$26="Valor proposto pelo município",Auxilar!E10,'Input Técnico'!$D$26))*E11,0)</f>
        <v>0</v>
      </c>
      <c r="F26" s="4">
        <f>IFERROR((IF($D$26="Valor proposto pelo município",Auxilar!G10,'Input Técnico'!$D$26))*F11,0)</f>
        <v>0</v>
      </c>
      <c r="G26" s="4">
        <f>IFERROR((IF($D$26="Valor proposto pelo município",Auxilar!H10,'Input Técnico'!$D$26))*G11,0)</f>
        <v>0</v>
      </c>
      <c r="H26" s="4">
        <f>IFERROR((IF($D$26="Valor proposto pelo município",Auxilar!I10,'Input Técnico'!$D$26))*H11,0)</f>
        <v>0</v>
      </c>
      <c r="I26" s="4">
        <f>IFERROR((IF($D$26="Valor proposto pelo município",Auxilar!J10,'Input Técnico'!$D$26))*I11,0)</f>
        <v>0</v>
      </c>
      <c r="J26" s="4">
        <f>IFERROR((IF($D$26="Valor proposto pelo município",Auxilar!K10,'Input Técnico'!$D$26))*J11,0)</f>
        <v>0</v>
      </c>
      <c r="K26" s="4">
        <f>IFERROR((IF($D$26="Valor proposto pelo município",Auxilar!L10,'Input Técnico'!$D$26))*K11,0)</f>
        <v>0</v>
      </c>
      <c r="L26" s="4">
        <f>IFERROR((IF($D$26="Valor proposto pelo município",Auxilar!M10,'Input Técnico'!$D$26))*L11,0)</f>
        <v>0</v>
      </c>
      <c r="M26" s="4">
        <f>IFERROR((IF($D$26="Valor proposto pelo município",Auxilar!N10,'Input Técnico'!$D$26))*M11,0)</f>
        <v>0</v>
      </c>
      <c r="N26" s="4">
        <f>IFERROR((IF($D$26="Valor proposto pelo município",Auxilar!O10,'Input Técnico'!$D$26))*N11,0)</f>
        <v>0</v>
      </c>
      <c r="O26" s="4">
        <f>IFERROR((IF($D$26="Valor proposto pelo município",Auxilar!P10,'Input Técnico'!$D$26))*O11,0)</f>
        <v>0</v>
      </c>
      <c r="P26" s="286"/>
    </row>
    <row r="27" spans="1:16" x14ac:dyDescent="0.25">
      <c r="A27" s="49" t="s">
        <v>621</v>
      </c>
      <c r="B27" s="186" t="s">
        <v>462</v>
      </c>
      <c r="C27" s="55" t="s">
        <v>13</v>
      </c>
      <c r="D27" s="49"/>
      <c r="E27" s="4">
        <f>IF((IFERROR(E26-E28,0))&lt;0,0,(IFERROR(E26-E28,0)))</f>
        <v>0</v>
      </c>
      <c r="F27" s="4">
        <f t="shared" ref="F27:O27" si="16">IF((IFERROR(F26-F28,0))&lt;0,0,(IFERROR(F26-F28,0)))</f>
        <v>0</v>
      </c>
      <c r="G27" s="4">
        <f t="shared" si="16"/>
        <v>0</v>
      </c>
      <c r="H27" s="4">
        <f t="shared" si="16"/>
        <v>0</v>
      </c>
      <c r="I27" s="4">
        <f t="shared" si="16"/>
        <v>0</v>
      </c>
      <c r="J27" s="4">
        <f t="shared" si="16"/>
        <v>0</v>
      </c>
      <c r="K27" s="4">
        <f t="shared" si="16"/>
        <v>0</v>
      </c>
      <c r="L27" s="4">
        <f t="shared" si="16"/>
        <v>0</v>
      </c>
      <c r="M27" s="4">
        <f t="shared" si="16"/>
        <v>0</v>
      </c>
      <c r="N27" s="4">
        <f t="shared" si="16"/>
        <v>0</v>
      </c>
      <c r="O27" s="4">
        <f t="shared" si="16"/>
        <v>0</v>
      </c>
      <c r="P27" s="286"/>
    </row>
    <row r="28" spans="1:16" x14ac:dyDescent="0.25">
      <c r="A28" s="49" t="s">
        <v>620</v>
      </c>
      <c r="B28" s="186" t="s">
        <v>461</v>
      </c>
      <c r="C28" s="55" t="s">
        <v>13</v>
      </c>
      <c r="D28" s="49"/>
      <c r="E28" s="174"/>
      <c r="F28" s="273">
        <f>((IFERROR((((F26/F11)*F77)*F102),0)))+((IFERROR((((F26/F11)*F78)*F103),0)))+((IFERROR((((F26/F11)*F79)*F104),0)))</f>
        <v>0</v>
      </c>
      <c r="G28" s="273">
        <f t="shared" ref="G28:O28" si="17">((IFERROR((((G26/G11)*G77)*G102),0)))+((IFERROR((((G26/G11)*G78)*G103),0)))+((IFERROR((((G26/G11)*G79)*G104),0)))</f>
        <v>0</v>
      </c>
      <c r="H28" s="273">
        <f t="shared" si="17"/>
        <v>0</v>
      </c>
      <c r="I28" s="273">
        <f t="shared" si="17"/>
        <v>0</v>
      </c>
      <c r="J28" s="273">
        <f t="shared" si="17"/>
        <v>0</v>
      </c>
      <c r="K28" s="273">
        <f t="shared" si="17"/>
        <v>0</v>
      </c>
      <c r="L28" s="273">
        <f t="shared" si="17"/>
        <v>0</v>
      </c>
      <c r="M28" s="273">
        <f t="shared" si="17"/>
        <v>0</v>
      </c>
      <c r="N28" s="273">
        <f t="shared" si="17"/>
        <v>0</v>
      </c>
      <c r="O28" s="273">
        <f t="shared" si="17"/>
        <v>0</v>
      </c>
      <c r="P28" s="286"/>
    </row>
    <row r="29" spans="1:16" ht="30" x14ac:dyDescent="0.25">
      <c r="A29" s="68" t="s">
        <v>622</v>
      </c>
      <c r="B29" s="158" t="s">
        <v>463</v>
      </c>
      <c r="C29" s="55" t="s">
        <v>13</v>
      </c>
      <c r="D29" s="284" t="s">
        <v>444</v>
      </c>
      <c r="E29" s="4">
        <f>IFERROR((IF($D$29="Valor proposto pelo município",Auxilar!E11,'Input Técnico'!$D$29))*E12,0)</f>
        <v>0</v>
      </c>
      <c r="F29" s="4">
        <f>IFERROR((IF($D$29="Valor proposto pelo município",Auxilar!G11,'Input Técnico'!$D$29))*F12,0)</f>
        <v>0</v>
      </c>
      <c r="G29" s="4">
        <f>IFERROR((IF($D$29="Valor proposto pelo município",Auxilar!H11,'Input Técnico'!$D$29))*G12,0)</f>
        <v>0</v>
      </c>
      <c r="H29" s="4">
        <f>IFERROR((IF($D$29="Valor proposto pelo município",Auxilar!I11,'Input Técnico'!$D$29))*H12,0)</f>
        <v>0</v>
      </c>
      <c r="I29" s="4">
        <f>IFERROR((IF($D$29="Valor proposto pelo município",Auxilar!J11,'Input Técnico'!$D$29))*I12,0)</f>
        <v>0</v>
      </c>
      <c r="J29" s="4">
        <f>IFERROR((IF($D$29="Valor proposto pelo município",Auxilar!K11,'Input Técnico'!$D$29))*J12,0)</f>
        <v>0</v>
      </c>
      <c r="K29" s="4">
        <f>IFERROR((IF($D$29="Valor proposto pelo município",Auxilar!L11,'Input Técnico'!$D$29))*K12,0)</f>
        <v>0</v>
      </c>
      <c r="L29" s="4">
        <f>IFERROR((IF($D$29="Valor proposto pelo município",Auxilar!M11,'Input Técnico'!$D$29))*L12,0)</f>
        <v>0</v>
      </c>
      <c r="M29" s="4">
        <f>IFERROR((IF($D$29="Valor proposto pelo município",Auxilar!N11,'Input Técnico'!$D$29))*M12,0)</f>
        <v>0</v>
      </c>
      <c r="N29" s="4">
        <f>IFERROR((IF($D$29="Valor proposto pelo município",Auxilar!O11,'Input Técnico'!$D$29))*N12,0)</f>
        <v>0</v>
      </c>
      <c r="O29" s="4">
        <f>IFERROR((IF($D$29="Valor proposto pelo município",Auxilar!P11,'Input Técnico'!$D$29))*O12,0)</f>
        <v>0</v>
      </c>
      <c r="P29" s="286"/>
    </row>
    <row r="30" spans="1:16" x14ac:dyDescent="0.25">
      <c r="A30" s="49" t="s">
        <v>623</v>
      </c>
      <c r="B30" s="186" t="s">
        <v>464</v>
      </c>
      <c r="C30" s="55" t="s">
        <v>13</v>
      </c>
      <c r="D30" s="49"/>
      <c r="E30" s="4">
        <f>IF((IFERROR(E29-E31,0))&lt;0,0,(IFERROR(E29-E31,0)))</f>
        <v>0</v>
      </c>
      <c r="F30" s="4">
        <f t="shared" ref="F30:O30" si="18">IF((IFERROR(F29-F31,0))&lt;0,0,(IFERROR(F29-F31,0)))</f>
        <v>0</v>
      </c>
      <c r="G30" s="4">
        <f t="shared" si="18"/>
        <v>0</v>
      </c>
      <c r="H30" s="4">
        <f t="shared" si="18"/>
        <v>0</v>
      </c>
      <c r="I30" s="4">
        <f t="shared" si="18"/>
        <v>0</v>
      </c>
      <c r="J30" s="4">
        <f t="shared" si="18"/>
        <v>0</v>
      </c>
      <c r="K30" s="4">
        <f t="shared" si="18"/>
        <v>0</v>
      </c>
      <c r="L30" s="4">
        <f t="shared" si="18"/>
        <v>0</v>
      </c>
      <c r="M30" s="4">
        <f t="shared" si="18"/>
        <v>0</v>
      </c>
      <c r="N30" s="4">
        <f t="shared" si="18"/>
        <v>0</v>
      </c>
      <c r="O30" s="4">
        <f t="shared" si="18"/>
        <v>0</v>
      </c>
      <c r="P30" s="286"/>
    </row>
    <row r="31" spans="1:16" x14ac:dyDescent="0.25">
      <c r="A31" s="49" t="s">
        <v>624</v>
      </c>
      <c r="B31" s="186" t="s">
        <v>465</v>
      </c>
      <c r="C31" s="55" t="s">
        <v>13</v>
      </c>
      <c r="D31" s="49"/>
      <c r="E31" s="174"/>
      <c r="F31" s="273">
        <f>(IFERROR((((F29/F12)*F81)*F102),0))++(IFERROR((((F29/F12)*F82)*F103),0))+(IFERROR((((F29/F12)*F83)*F104),0))</f>
        <v>0</v>
      </c>
      <c r="G31" s="273">
        <f t="shared" ref="G31:O31" si="19">(IFERROR((((G29/G12)*G81)*G102),0))++(IFERROR((((G29/G12)*G82)*G103),0))+(IFERROR((((G29/G12)*G83)*G104),0))</f>
        <v>0</v>
      </c>
      <c r="H31" s="273">
        <f t="shared" si="19"/>
        <v>0</v>
      </c>
      <c r="I31" s="273">
        <f t="shared" si="19"/>
        <v>0</v>
      </c>
      <c r="J31" s="273">
        <f t="shared" si="19"/>
        <v>0</v>
      </c>
      <c r="K31" s="273">
        <f t="shared" si="19"/>
        <v>0</v>
      </c>
      <c r="L31" s="273">
        <f t="shared" si="19"/>
        <v>0</v>
      </c>
      <c r="M31" s="273">
        <f t="shared" si="19"/>
        <v>0</v>
      </c>
      <c r="N31" s="273">
        <f t="shared" si="19"/>
        <v>0</v>
      </c>
      <c r="O31" s="273">
        <f t="shared" si="19"/>
        <v>0</v>
      </c>
      <c r="P31" s="286"/>
    </row>
    <row r="32" spans="1:16" x14ac:dyDescent="0.25">
      <c r="A32" s="49" t="s">
        <v>625</v>
      </c>
      <c r="B32" s="59" t="s">
        <v>64</v>
      </c>
      <c r="C32" s="55" t="s">
        <v>13</v>
      </c>
      <c r="D32" s="49"/>
      <c r="E32" s="4">
        <f>IFERROR(E33+E36,0)</f>
        <v>0</v>
      </c>
      <c r="F32" s="4">
        <f t="shared" ref="F32:O32" si="20">IFERROR(F33+F36,0)</f>
        <v>0</v>
      </c>
      <c r="G32" s="4">
        <f t="shared" si="20"/>
        <v>0</v>
      </c>
      <c r="H32" s="4">
        <f t="shared" si="20"/>
        <v>0</v>
      </c>
      <c r="I32" s="4">
        <f t="shared" si="20"/>
        <v>0</v>
      </c>
      <c r="J32" s="4">
        <f t="shared" si="20"/>
        <v>0</v>
      </c>
      <c r="K32" s="4">
        <f t="shared" si="20"/>
        <v>0</v>
      </c>
      <c r="L32" s="4">
        <f t="shared" si="20"/>
        <v>0</v>
      </c>
      <c r="M32" s="4">
        <f t="shared" si="20"/>
        <v>0</v>
      </c>
      <c r="N32" s="4">
        <f t="shared" si="20"/>
        <v>0</v>
      </c>
      <c r="O32" s="4">
        <f t="shared" si="20"/>
        <v>0</v>
      </c>
      <c r="P32" s="286"/>
    </row>
    <row r="33" spans="1:24" x14ac:dyDescent="0.25">
      <c r="A33" s="49" t="s">
        <v>626</v>
      </c>
      <c r="B33" s="60" t="s">
        <v>455</v>
      </c>
      <c r="C33" s="55" t="s">
        <v>13</v>
      </c>
      <c r="D33" s="49"/>
      <c r="E33" s="4">
        <f>IFERROR(E34+E35,0)</f>
        <v>0</v>
      </c>
      <c r="F33" s="4">
        <f>IFERROR(($E$33/$E$4)*F4,0)</f>
        <v>0</v>
      </c>
      <c r="G33" s="4">
        <f t="shared" ref="G33:O33" si="21">IFERROR(($E$33/$E$4)*G4,0)</f>
        <v>0</v>
      </c>
      <c r="H33" s="4">
        <f t="shared" si="21"/>
        <v>0</v>
      </c>
      <c r="I33" s="4">
        <f t="shared" si="21"/>
        <v>0</v>
      </c>
      <c r="J33" s="4">
        <f t="shared" si="21"/>
        <v>0</v>
      </c>
      <c r="K33" s="4">
        <f t="shared" si="21"/>
        <v>0</v>
      </c>
      <c r="L33" s="4">
        <f t="shared" si="21"/>
        <v>0</v>
      </c>
      <c r="M33" s="4">
        <f t="shared" si="21"/>
        <v>0</v>
      </c>
      <c r="N33" s="4">
        <f t="shared" si="21"/>
        <v>0</v>
      </c>
      <c r="O33" s="4">
        <f t="shared" si="21"/>
        <v>0</v>
      </c>
      <c r="P33" s="286"/>
    </row>
    <row r="34" spans="1:24" x14ac:dyDescent="0.25">
      <c r="A34" s="49" t="s">
        <v>627</v>
      </c>
      <c r="B34" s="185" t="s">
        <v>456</v>
      </c>
      <c r="C34" s="55" t="s">
        <v>13</v>
      </c>
      <c r="D34" s="49"/>
      <c r="E34" s="4">
        <f>IFERROR(E19,0)</f>
        <v>0</v>
      </c>
      <c r="F34" s="4">
        <f>F33-F35</f>
        <v>0</v>
      </c>
      <c r="G34" s="4">
        <f t="shared" ref="G34:O34" si="22">G33-G35</f>
        <v>0</v>
      </c>
      <c r="H34" s="4">
        <f t="shared" si="22"/>
        <v>0</v>
      </c>
      <c r="I34" s="4">
        <f t="shared" si="22"/>
        <v>0</v>
      </c>
      <c r="J34" s="4">
        <f t="shared" si="22"/>
        <v>0</v>
      </c>
      <c r="K34" s="4">
        <f t="shared" si="22"/>
        <v>0</v>
      </c>
      <c r="L34" s="4">
        <f t="shared" si="22"/>
        <v>0</v>
      </c>
      <c r="M34" s="4">
        <f t="shared" si="22"/>
        <v>0</v>
      </c>
      <c r="N34" s="4">
        <f t="shared" si="22"/>
        <v>0</v>
      </c>
      <c r="O34" s="4">
        <f t="shared" si="22"/>
        <v>0</v>
      </c>
      <c r="P34" s="286"/>
    </row>
    <row r="35" spans="1:24" x14ac:dyDescent="0.25">
      <c r="A35" s="49" t="s">
        <v>628</v>
      </c>
      <c r="B35" s="185" t="s">
        <v>457</v>
      </c>
      <c r="C35" s="55" t="s">
        <v>13</v>
      </c>
      <c r="D35" s="49"/>
      <c r="E35" s="174"/>
      <c r="F35" s="273">
        <f>F122</f>
        <v>0</v>
      </c>
      <c r="G35" s="273">
        <f t="shared" ref="G35:O35" si="23">G122</f>
        <v>0</v>
      </c>
      <c r="H35" s="273">
        <f t="shared" si="23"/>
        <v>0</v>
      </c>
      <c r="I35" s="273">
        <f t="shared" si="23"/>
        <v>0</v>
      </c>
      <c r="J35" s="273">
        <f t="shared" si="23"/>
        <v>0</v>
      </c>
      <c r="K35" s="273">
        <f t="shared" si="23"/>
        <v>0</v>
      </c>
      <c r="L35" s="273">
        <f t="shared" si="23"/>
        <v>0</v>
      </c>
      <c r="M35" s="273">
        <f t="shared" si="23"/>
        <v>0</v>
      </c>
      <c r="N35" s="273">
        <f t="shared" si="23"/>
        <v>0</v>
      </c>
      <c r="O35" s="273">
        <f t="shared" si="23"/>
        <v>0</v>
      </c>
      <c r="P35" s="288"/>
    </row>
    <row r="36" spans="1:24" x14ac:dyDescent="0.25">
      <c r="A36" s="49" t="s">
        <v>629</v>
      </c>
      <c r="B36" s="60" t="s">
        <v>458</v>
      </c>
      <c r="C36" s="55" t="s">
        <v>13</v>
      </c>
      <c r="D36" s="49"/>
      <c r="E36" s="4">
        <f>E37</f>
        <v>0</v>
      </c>
      <c r="F36" s="273">
        <f>F37</f>
        <v>0</v>
      </c>
      <c r="G36" s="273">
        <f t="shared" ref="G36:O36" si="24">G37</f>
        <v>0</v>
      </c>
      <c r="H36" s="273">
        <f t="shared" si="24"/>
        <v>0</v>
      </c>
      <c r="I36" s="273">
        <f t="shared" si="24"/>
        <v>0</v>
      </c>
      <c r="J36" s="273">
        <f t="shared" si="24"/>
        <v>0</v>
      </c>
      <c r="K36" s="273">
        <f t="shared" si="24"/>
        <v>0</v>
      </c>
      <c r="L36" s="273">
        <f t="shared" si="24"/>
        <v>0</v>
      </c>
      <c r="M36" s="273">
        <f t="shared" si="24"/>
        <v>0</v>
      </c>
      <c r="N36" s="273">
        <f t="shared" si="24"/>
        <v>0</v>
      </c>
      <c r="O36" s="273">
        <f t="shared" si="24"/>
        <v>0</v>
      </c>
      <c r="P36" s="288"/>
    </row>
    <row r="37" spans="1:24" x14ac:dyDescent="0.25">
      <c r="A37" s="49" t="s">
        <v>630</v>
      </c>
      <c r="B37" s="185" t="s">
        <v>460</v>
      </c>
      <c r="C37" s="55" t="s">
        <v>13</v>
      </c>
      <c r="D37" s="49"/>
      <c r="E37" s="174"/>
      <c r="F37" s="273">
        <f>F127</f>
        <v>0</v>
      </c>
      <c r="G37" s="273">
        <f t="shared" ref="G37:O37" si="25">G127</f>
        <v>0</v>
      </c>
      <c r="H37" s="273">
        <f t="shared" si="25"/>
        <v>0</v>
      </c>
      <c r="I37" s="273">
        <f t="shared" si="25"/>
        <v>0</v>
      </c>
      <c r="J37" s="273">
        <f t="shared" si="25"/>
        <v>0</v>
      </c>
      <c r="K37" s="273">
        <f t="shared" si="25"/>
        <v>0</v>
      </c>
      <c r="L37" s="273">
        <f t="shared" si="25"/>
        <v>0</v>
      </c>
      <c r="M37" s="273">
        <f t="shared" si="25"/>
        <v>0</v>
      </c>
      <c r="N37" s="273">
        <f t="shared" si="25"/>
        <v>0</v>
      </c>
      <c r="O37" s="273">
        <f t="shared" si="25"/>
        <v>0</v>
      </c>
      <c r="P37" s="288"/>
    </row>
    <row r="38" spans="1:24" x14ac:dyDescent="0.25">
      <c r="A38" s="133" t="s">
        <v>235</v>
      </c>
      <c r="B38" s="48" t="s">
        <v>10</v>
      </c>
      <c r="C38" s="48"/>
      <c r="D38" s="48"/>
      <c r="E38" s="48"/>
      <c r="F38" s="48"/>
      <c r="G38" s="48"/>
      <c r="H38" s="48"/>
      <c r="I38" s="48"/>
      <c r="J38" s="48"/>
      <c r="K38" s="48"/>
      <c r="L38" s="48"/>
      <c r="M38" s="48"/>
      <c r="N38" s="48"/>
      <c r="O38" s="48"/>
      <c r="P38" s="48"/>
      <c r="Q38" s="103"/>
      <c r="R38" s="103"/>
    </row>
    <row r="39" spans="1:24" x14ac:dyDescent="0.25">
      <c r="A39" s="49" t="s">
        <v>236</v>
      </c>
      <c r="B39" s="56" t="s">
        <v>63</v>
      </c>
      <c r="C39" s="55" t="s">
        <v>8</v>
      </c>
      <c r="D39" s="371" t="s">
        <v>680</v>
      </c>
      <c r="E39" s="4">
        <f>IFERROR((SUM(E40+E41+E42)),0)</f>
        <v>0</v>
      </c>
      <c r="F39" s="4">
        <f>IFERROR((SUM(F40+F41+F42)),0)</f>
        <v>0</v>
      </c>
      <c r="G39" s="4">
        <f t="shared" ref="G39:O39" si="26">IFERROR((SUM(G40+G41+G42)),0)</f>
        <v>0</v>
      </c>
      <c r="H39" s="4">
        <f t="shared" si="26"/>
        <v>0</v>
      </c>
      <c r="I39" s="4">
        <f t="shared" si="26"/>
        <v>0</v>
      </c>
      <c r="J39" s="4">
        <f t="shared" si="26"/>
        <v>0</v>
      </c>
      <c r="K39" s="4">
        <f t="shared" si="26"/>
        <v>0</v>
      </c>
      <c r="L39" s="4">
        <f t="shared" si="26"/>
        <v>0</v>
      </c>
      <c r="M39" s="4">
        <f t="shared" si="26"/>
        <v>0</v>
      </c>
      <c r="N39" s="4">
        <f t="shared" si="26"/>
        <v>0</v>
      </c>
      <c r="O39" s="4">
        <f t="shared" si="26"/>
        <v>0</v>
      </c>
      <c r="P39" s="173"/>
    </row>
    <row r="40" spans="1:24" x14ac:dyDescent="0.25">
      <c r="A40" s="49" t="s">
        <v>237</v>
      </c>
      <c r="B40" s="54" t="s">
        <v>31</v>
      </c>
      <c r="C40" s="55" t="s">
        <v>8</v>
      </c>
      <c r="D40" s="372"/>
      <c r="E40" s="290"/>
      <c r="F40" s="4">
        <f>IFERROR(IF($D$39="Método 1",F49*F4,IF($D$39="Método 2",F8*F58,0)),0)</f>
        <v>0</v>
      </c>
      <c r="G40" s="4">
        <f t="shared" ref="G40:O40" si="27">IFERROR(IF($D$39="Método 1",G49*G4,IF($D$39="Método 2",G8*G58,0)),0)</f>
        <v>0</v>
      </c>
      <c r="H40" s="4">
        <f>IFERROR(IF($D$39="Método 1",H49*H4,IF($D$39="Método 2",H8*H58,0)),0)</f>
        <v>0</v>
      </c>
      <c r="I40" s="4">
        <f>IFERROR(IF($D$39="Método 1",I49*I4,IF($D$39="Método 2",I8*I58,0)),0)</f>
        <v>0</v>
      </c>
      <c r="J40" s="4">
        <f t="shared" si="27"/>
        <v>0</v>
      </c>
      <c r="K40" s="4">
        <f t="shared" si="27"/>
        <v>0</v>
      </c>
      <c r="L40" s="4">
        <f t="shared" si="27"/>
        <v>0</v>
      </c>
      <c r="M40" s="4">
        <f t="shared" si="27"/>
        <v>0</v>
      </c>
      <c r="N40" s="4">
        <f t="shared" si="27"/>
        <v>0</v>
      </c>
      <c r="O40" s="4">
        <f t="shared" si="27"/>
        <v>0</v>
      </c>
      <c r="P40" s="173"/>
    </row>
    <row r="41" spans="1:24" x14ac:dyDescent="0.25">
      <c r="A41" s="49" t="s">
        <v>244</v>
      </c>
      <c r="B41" s="59" t="s">
        <v>29</v>
      </c>
      <c r="C41" s="55" t="s">
        <v>8</v>
      </c>
      <c r="D41" s="372"/>
      <c r="E41" s="290"/>
      <c r="F41" s="4">
        <f>IFERROR(IF($D$39="Método 1",F50*F4,IF($D$39="Método 2",F8*F59,0)),0)</f>
        <v>0</v>
      </c>
      <c r="G41" s="4">
        <f t="shared" ref="G41:O41" si="28">IFERROR(IF($D$39="Método 1",G50*G4,IF($D$39="Método 2",G8*G59,0)),0)</f>
        <v>0</v>
      </c>
      <c r="H41" s="4">
        <f>IFERROR(IF($D$39="Método 1",H50*H4,IF($D$39="Método 2",H8*H59,0)),0)</f>
        <v>0</v>
      </c>
      <c r="I41" s="4">
        <f>IFERROR(IF($D$39="Método 1",I50*I4,IF($D$39="Método 2",I8*I59,0)),0)</f>
        <v>0</v>
      </c>
      <c r="J41" s="4">
        <f t="shared" si="28"/>
        <v>0</v>
      </c>
      <c r="K41" s="4">
        <f t="shared" si="28"/>
        <v>0</v>
      </c>
      <c r="L41" s="4">
        <f t="shared" si="28"/>
        <v>0</v>
      </c>
      <c r="M41" s="4">
        <f t="shared" si="28"/>
        <v>0</v>
      </c>
      <c r="N41" s="4">
        <f t="shared" si="28"/>
        <v>0</v>
      </c>
      <c r="O41" s="4">
        <f t="shared" si="28"/>
        <v>0</v>
      </c>
      <c r="P41" s="173"/>
    </row>
    <row r="42" spans="1:24" x14ac:dyDescent="0.25">
      <c r="A42" s="49" t="s">
        <v>245</v>
      </c>
      <c r="B42" s="59" t="s">
        <v>30</v>
      </c>
      <c r="C42" s="55" t="s">
        <v>8</v>
      </c>
      <c r="D42" s="372"/>
      <c r="E42" s="290"/>
      <c r="F42" s="4">
        <f>IFERROR(IF($D$39="Método 1",F51*F4,IF($D$39="Método 2",F8*F60,0)),0)</f>
        <v>0</v>
      </c>
      <c r="G42" s="4">
        <f t="shared" ref="G42:O42" si="29">IFERROR(IF($D$39="Método 1",G51*G4,IF($D$39="Método 2",G8*G60,0)),0)</f>
        <v>0</v>
      </c>
      <c r="H42" s="4">
        <f>IFERROR(IF($D$39="Método 1",H51*H4,IF($D$39="Método 2",H8*H60,0)),0)</f>
        <v>0</v>
      </c>
      <c r="I42" s="4">
        <f>IFERROR(IF($D$39="Método 1",I51*I4,IF($D$39="Método 2",I8*I60,0)),0)</f>
        <v>0</v>
      </c>
      <c r="J42" s="4">
        <f t="shared" si="29"/>
        <v>0</v>
      </c>
      <c r="K42" s="4">
        <f t="shared" si="29"/>
        <v>0</v>
      </c>
      <c r="L42" s="4">
        <f t="shared" si="29"/>
        <v>0</v>
      </c>
      <c r="M42" s="4">
        <f t="shared" si="29"/>
        <v>0</v>
      </c>
      <c r="N42" s="4">
        <f t="shared" si="29"/>
        <v>0</v>
      </c>
      <c r="O42" s="4">
        <f t="shared" si="29"/>
        <v>0</v>
      </c>
      <c r="P42" s="173"/>
    </row>
    <row r="43" spans="1:24" x14ac:dyDescent="0.25">
      <c r="A43" s="49" t="s">
        <v>278</v>
      </c>
      <c r="B43" s="56" t="s">
        <v>64</v>
      </c>
      <c r="C43" s="55" t="s">
        <v>8</v>
      </c>
      <c r="D43" s="372"/>
      <c r="E43" s="4">
        <f>IFERROR((SUM(E44+E45+E46)),0)</f>
        <v>0</v>
      </c>
      <c r="F43" s="4">
        <f>IFERROR((SUM(F44+F45+F46)),0)</f>
        <v>0</v>
      </c>
      <c r="G43" s="4">
        <f t="shared" ref="G43:O43" si="30">IFERROR((SUM(G44+G45+G46)),0)</f>
        <v>0</v>
      </c>
      <c r="H43" s="4">
        <f t="shared" si="30"/>
        <v>0</v>
      </c>
      <c r="I43" s="4">
        <f t="shared" si="30"/>
        <v>0</v>
      </c>
      <c r="J43" s="4">
        <f t="shared" si="30"/>
        <v>0</v>
      </c>
      <c r="K43" s="4">
        <f t="shared" si="30"/>
        <v>0</v>
      </c>
      <c r="L43" s="4">
        <f t="shared" si="30"/>
        <v>0</v>
      </c>
      <c r="M43" s="4">
        <f t="shared" si="30"/>
        <v>0</v>
      </c>
      <c r="N43" s="4">
        <f t="shared" si="30"/>
        <v>0</v>
      </c>
      <c r="O43" s="4">
        <f t="shared" si="30"/>
        <v>0</v>
      </c>
      <c r="P43" s="173"/>
    </row>
    <row r="44" spans="1:24" x14ac:dyDescent="0.25">
      <c r="A44" s="49" t="s">
        <v>246</v>
      </c>
      <c r="B44" s="54" t="s">
        <v>31</v>
      </c>
      <c r="C44" s="55" t="s">
        <v>8</v>
      </c>
      <c r="D44" s="372"/>
      <c r="E44" s="290"/>
      <c r="F44" s="4">
        <f>IFERROR(IF($D$39="Método 1",F53*F4,IF($D$39="Método 2",F8*F62,0)),0)</f>
        <v>0</v>
      </c>
      <c r="G44" s="4">
        <f t="shared" ref="G44:O44" si="31">IFERROR(IF($D$39="Método 1",G53*G4,IF($D$39="Método 2",G8*G62,0)),0)</f>
        <v>0</v>
      </c>
      <c r="H44" s="4">
        <f t="shared" si="31"/>
        <v>0</v>
      </c>
      <c r="I44" s="4">
        <f t="shared" si="31"/>
        <v>0</v>
      </c>
      <c r="J44" s="4">
        <f t="shared" si="31"/>
        <v>0</v>
      </c>
      <c r="K44" s="4">
        <f t="shared" si="31"/>
        <v>0</v>
      </c>
      <c r="L44" s="4">
        <f t="shared" si="31"/>
        <v>0</v>
      </c>
      <c r="M44" s="4">
        <f t="shared" si="31"/>
        <v>0</v>
      </c>
      <c r="N44" s="4">
        <f t="shared" si="31"/>
        <v>0</v>
      </c>
      <c r="O44" s="4">
        <f t="shared" si="31"/>
        <v>0</v>
      </c>
      <c r="P44" s="173"/>
    </row>
    <row r="45" spans="1:24" x14ac:dyDescent="0.25">
      <c r="A45" s="49" t="s">
        <v>247</v>
      </c>
      <c r="B45" s="59" t="s">
        <v>29</v>
      </c>
      <c r="C45" s="55" t="s">
        <v>8</v>
      </c>
      <c r="D45" s="372"/>
      <c r="E45" s="290"/>
      <c r="F45" s="4">
        <f>IFERROR(IF($D$39="Método 1",F54*F4,IF($D$39="Método 2",F8*F63,0)),0)</f>
        <v>0</v>
      </c>
      <c r="G45" s="4">
        <f t="shared" ref="G45:O45" si="32">IFERROR(IF($D$39="Método 1",G54*G4,IF($D$39="Método 2",G8*G63,0)),0)</f>
        <v>0</v>
      </c>
      <c r="H45" s="4">
        <f t="shared" si="32"/>
        <v>0</v>
      </c>
      <c r="I45" s="4">
        <f t="shared" si="32"/>
        <v>0</v>
      </c>
      <c r="J45" s="4">
        <f t="shared" si="32"/>
        <v>0</v>
      </c>
      <c r="K45" s="4">
        <f t="shared" si="32"/>
        <v>0</v>
      </c>
      <c r="L45" s="4">
        <f t="shared" si="32"/>
        <v>0</v>
      </c>
      <c r="M45" s="4">
        <f t="shared" si="32"/>
        <v>0</v>
      </c>
      <c r="N45" s="4">
        <f t="shared" si="32"/>
        <v>0</v>
      </c>
      <c r="O45" s="4">
        <f t="shared" si="32"/>
        <v>0</v>
      </c>
      <c r="P45" s="173"/>
    </row>
    <row r="46" spans="1:24" x14ac:dyDescent="0.25">
      <c r="A46" s="49" t="s">
        <v>248</v>
      </c>
      <c r="B46" s="59" t="s">
        <v>30</v>
      </c>
      <c r="C46" s="55" t="s">
        <v>8</v>
      </c>
      <c r="D46" s="373"/>
      <c r="E46" s="290"/>
      <c r="F46" s="4">
        <f>IFERROR(IF($D$39="Método 1",F55*F4,IF($D$39="Método 2",F8*F64,0)),0)</f>
        <v>0</v>
      </c>
      <c r="G46" s="4">
        <f t="shared" ref="G46:O46" si="33">IFERROR(IF($D$39="Método 1",G55*G4,IF($D$39="Método 2",G8*G64,0)),0)</f>
        <v>0</v>
      </c>
      <c r="H46" s="4">
        <f t="shared" si="33"/>
        <v>0</v>
      </c>
      <c r="I46" s="4">
        <f t="shared" si="33"/>
        <v>0</v>
      </c>
      <c r="J46" s="4">
        <f t="shared" si="33"/>
        <v>0</v>
      </c>
      <c r="K46" s="4">
        <f t="shared" si="33"/>
        <v>0</v>
      </c>
      <c r="L46" s="4">
        <f t="shared" si="33"/>
        <v>0</v>
      </c>
      <c r="M46" s="4">
        <f t="shared" si="33"/>
        <v>0</v>
      </c>
      <c r="N46" s="4">
        <f t="shared" si="33"/>
        <v>0</v>
      </c>
      <c r="O46" s="4">
        <f t="shared" si="33"/>
        <v>0</v>
      </c>
      <c r="P46" s="173"/>
    </row>
    <row r="47" spans="1:24" x14ac:dyDescent="0.25">
      <c r="A47" s="133" t="s">
        <v>249</v>
      </c>
      <c r="B47" s="48" t="s">
        <v>11</v>
      </c>
      <c r="C47" s="48"/>
      <c r="D47" s="48"/>
      <c r="E47" s="48"/>
      <c r="F47" s="48"/>
      <c r="G47" s="48"/>
      <c r="H47" s="48"/>
      <c r="I47" s="48"/>
      <c r="J47" s="48"/>
      <c r="K47" s="48"/>
      <c r="L47" s="48"/>
      <c r="M47" s="48"/>
      <c r="N47" s="48"/>
      <c r="O47" s="48"/>
      <c r="P47" s="48"/>
    </row>
    <row r="48" spans="1:24" x14ac:dyDescent="0.25">
      <c r="A48" s="49" t="s">
        <v>250</v>
      </c>
      <c r="B48" s="56" t="s">
        <v>63</v>
      </c>
      <c r="C48" s="55" t="s">
        <v>12</v>
      </c>
      <c r="D48" s="374" t="str">
        <f>IF(D39="Método 1","Método 1",IF(D39="Método 2","Método 2"," "))</f>
        <v xml:space="preserve"> </v>
      </c>
      <c r="E48" s="5">
        <f>IFERROR((SUM(E49+E50+E51)),0)</f>
        <v>0</v>
      </c>
      <c r="F48" s="5">
        <f>IFERROR((SUM(F49+F50+F51)),0)</f>
        <v>0</v>
      </c>
      <c r="G48" s="5">
        <f t="shared" ref="G48:O48" si="34">IFERROR((SUM(G49+G50+G51)),0)</f>
        <v>0</v>
      </c>
      <c r="H48" s="5">
        <f t="shared" si="34"/>
        <v>0</v>
      </c>
      <c r="I48" s="5">
        <f t="shared" si="34"/>
        <v>0</v>
      </c>
      <c r="J48" s="5">
        <f t="shared" si="34"/>
        <v>0</v>
      </c>
      <c r="K48" s="5">
        <f t="shared" si="34"/>
        <v>0</v>
      </c>
      <c r="L48" s="5">
        <f t="shared" si="34"/>
        <v>0</v>
      </c>
      <c r="M48" s="5">
        <f t="shared" si="34"/>
        <v>0</v>
      </c>
      <c r="N48" s="5">
        <f t="shared" si="34"/>
        <v>0</v>
      </c>
      <c r="O48" s="5">
        <f t="shared" si="34"/>
        <v>0</v>
      </c>
      <c r="P48" s="173"/>
      <c r="X48" s="104"/>
    </row>
    <row r="49" spans="1:27" x14ac:dyDescent="0.25">
      <c r="A49" s="49" t="s">
        <v>251</v>
      </c>
      <c r="B49" s="54" t="s">
        <v>31</v>
      </c>
      <c r="C49" s="55" t="s">
        <v>12</v>
      </c>
      <c r="D49" s="375"/>
      <c r="E49" s="5">
        <f>IFERROR((E40/E4),0)</f>
        <v>0</v>
      </c>
      <c r="F49" s="5">
        <f>IFERROR(IF($D$48="Método 1",Auxilar!G15/Auxilar!G13,IF($D$48="Método 2",F40/F4,0)),0)</f>
        <v>0</v>
      </c>
      <c r="G49" s="5">
        <f>IFERROR(IF($D$48="Método 1",Auxilar!H15/Auxilar!H13,IF($D$48="Método 2",G40/G4,0)),0)</f>
        <v>0</v>
      </c>
      <c r="H49" s="5">
        <f>IFERROR(IF($D$48="Método 1",Auxilar!I15/Auxilar!I13,IF($D$48="Método 2",H40/H4,0)),0)</f>
        <v>0</v>
      </c>
      <c r="I49" s="5">
        <f>IFERROR(IF($D$48="Método 1",Auxilar!J15/Auxilar!J13,IF($D$48="Método 2",I40/I4,0)),0)</f>
        <v>0</v>
      </c>
      <c r="J49" s="5">
        <f>IFERROR(IF($D$48="Método 1",Auxilar!K15/Auxilar!K13,IF($D$48="Método 2",J40/J4,0)),0)</f>
        <v>0</v>
      </c>
      <c r="K49" s="5">
        <f>IFERROR(IF($D$48="Método 1",Auxilar!L15/Auxilar!L13,IF($D$48="Método 2",K40/K4,0)),0)</f>
        <v>0</v>
      </c>
      <c r="L49" s="5">
        <f>IFERROR(IF($D$48="Método 1",Auxilar!M15/Auxilar!M13,IF($D$48="Método 2",L40/L4,0)),0)</f>
        <v>0</v>
      </c>
      <c r="M49" s="5">
        <f>IFERROR(IF($D$48="Método 1",Auxilar!N15/Auxilar!N13,IF($D$48="Método 2",M40/M4,0)),0)</f>
        <v>0</v>
      </c>
      <c r="N49" s="5">
        <f>IFERROR(IF($D$48="Método 1",Auxilar!O15/Auxilar!O13,IF($D$48="Método 2",N40/N4,0)),0)</f>
        <v>0</v>
      </c>
      <c r="O49" s="5">
        <f>IFERROR(IF($D$48="Método 1",Auxilar!P15/Auxilar!P13,IF($D$48="Método 2",O40/O4,0)),0)</f>
        <v>0</v>
      </c>
      <c r="P49" s="173"/>
      <c r="X49" s="104"/>
    </row>
    <row r="50" spans="1:27" x14ac:dyDescent="0.25">
      <c r="A50" s="49" t="s">
        <v>252</v>
      </c>
      <c r="B50" s="59" t="s">
        <v>29</v>
      </c>
      <c r="C50" s="55" t="s">
        <v>12</v>
      </c>
      <c r="D50" s="375"/>
      <c r="E50" s="5">
        <f>IFERROR((E41/E4),0)</f>
        <v>0</v>
      </c>
      <c r="F50" s="5">
        <f>IFERROR(IF($D$48="Método 1",Auxilar!G16/Auxilar!G13,IF($D$48="Método 2",F41/F4,0)),0)</f>
        <v>0</v>
      </c>
      <c r="G50" s="5">
        <f>IFERROR(IF($D$48="Método 1",Auxilar!H16/Auxilar!H13,IF($D$48="Método 2",G41/G4,0)),0)</f>
        <v>0</v>
      </c>
      <c r="H50" s="5">
        <f>IFERROR(IF($D$48="Método 1",Auxilar!I16/Auxilar!I13,IF($D$48="Método 2",H41/H4,0)),0)</f>
        <v>0</v>
      </c>
      <c r="I50" s="5">
        <f>IFERROR(IF($D$48="Método 1",Auxilar!J16/Auxilar!J13,IF($D$48="Método 2",I41/I4,0)),0)</f>
        <v>0</v>
      </c>
      <c r="J50" s="5">
        <f>IFERROR(IF($D$48="Método 1",Auxilar!K16/Auxilar!K13,IF($D$48="Método 2",J41/J4,0)),0)</f>
        <v>0</v>
      </c>
      <c r="K50" s="5">
        <f>IFERROR(IF($D$48="Método 1",Auxilar!L16/Auxilar!L13,IF($D$48="Método 2",K41/K4,0)),0)</f>
        <v>0</v>
      </c>
      <c r="L50" s="5">
        <f>IFERROR(IF($D$48="Método 1",Auxilar!M16/Auxilar!M13,IF($D$48="Método 2",L41/L4,0)),0)</f>
        <v>0</v>
      </c>
      <c r="M50" s="5">
        <f>IFERROR(IF($D$48="Método 1",Auxilar!N16/Auxilar!N13,IF($D$48="Método 2",M41/M4,0)),0)</f>
        <v>0</v>
      </c>
      <c r="N50" s="5">
        <f>IFERROR(IF($D$48="Método 1",Auxilar!O16/Auxilar!O13,IF($D$48="Método 2",N41/N4,0)),0)</f>
        <v>0</v>
      </c>
      <c r="O50" s="5">
        <f>IFERROR(IF($D$48="Método 1",Auxilar!P16/Auxilar!P13,IF($D$48="Método 2",O41/O4,0)),0)</f>
        <v>0</v>
      </c>
      <c r="P50" s="173"/>
    </row>
    <row r="51" spans="1:27" x14ac:dyDescent="0.25">
      <c r="A51" s="49" t="s">
        <v>253</v>
      </c>
      <c r="B51" s="59" t="s">
        <v>30</v>
      </c>
      <c r="C51" s="55" t="s">
        <v>12</v>
      </c>
      <c r="D51" s="375"/>
      <c r="E51" s="5">
        <f>IFERROR((E42/E4),0)</f>
        <v>0</v>
      </c>
      <c r="F51" s="5">
        <f>IFERROR(IF($D$48="Método 1",Auxilar!G17/Auxilar!G13,IF($D$48="Método 2",F42/F4,0)),0)</f>
        <v>0</v>
      </c>
      <c r="G51" s="5">
        <f>IFERROR(IF($D$48="Método 1",Auxilar!H17/Auxilar!H13,IF($D$48="Método 2",G42/G4,0)),0)</f>
        <v>0</v>
      </c>
      <c r="H51" s="5">
        <f>IFERROR(IF($D$48="Método 1",Auxilar!I17/Auxilar!I13,IF($D$48="Método 2",H42/H4,0)),0)</f>
        <v>0</v>
      </c>
      <c r="I51" s="5">
        <f>IFERROR(IF($D$48="Método 1",Auxilar!J17/Auxilar!J13,IF($D$48="Método 2",I42/I4,0)),0)</f>
        <v>0</v>
      </c>
      <c r="J51" s="5">
        <f>IFERROR(IF($D$48="Método 1",Auxilar!K17/Auxilar!K13,IF($D$48="Método 2",J42/J4,0)),0)</f>
        <v>0</v>
      </c>
      <c r="K51" s="5">
        <f>IFERROR(IF($D$48="Método 1",Auxilar!L17/Auxilar!L13,IF($D$48="Método 2",K42/K4,0)),0)</f>
        <v>0</v>
      </c>
      <c r="L51" s="5">
        <f>IFERROR(IF($D$48="Método 1",Auxilar!M17/Auxilar!M13,IF($D$48="Método 2",L42/L4,0)),0)</f>
        <v>0</v>
      </c>
      <c r="M51" s="5">
        <f>IFERROR(IF($D$48="Método 1",Auxilar!N17/Auxilar!N13,IF($D$48="Método 2",M42/M4,0)),0)</f>
        <v>0</v>
      </c>
      <c r="N51" s="5">
        <f>IFERROR(IF($D$48="Método 1",Auxilar!O17/Auxilar!O13,IF($D$48="Método 2",N42/N4,0)),0)</f>
        <v>0</v>
      </c>
      <c r="O51" s="5">
        <f>IFERROR(IF($D$48="Método 1",Auxilar!P17/Auxilar!P13,IF($D$48="Método 2",O42/O4,0)),0)</f>
        <v>0</v>
      </c>
      <c r="P51" s="173"/>
      <c r="X51" s="104"/>
    </row>
    <row r="52" spans="1:27" x14ac:dyDescent="0.25">
      <c r="A52" s="49" t="s">
        <v>254</v>
      </c>
      <c r="B52" s="56" t="s">
        <v>64</v>
      </c>
      <c r="C52" s="55" t="s">
        <v>12</v>
      </c>
      <c r="D52" s="375"/>
      <c r="E52" s="5">
        <f>IFERROR((SUM(E53+E54+E55)),0)</f>
        <v>0</v>
      </c>
      <c r="F52" s="5">
        <f>IFERROR((SUM(F53+F54+F55)),0)</f>
        <v>0</v>
      </c>
      <c r="G52" s="5">
        <f t="shared" ref="G52:O52" si="35">IFERROR((SUM(G53+G54+G55)),0)</f>
        <v>0</v>
      </c>
      <c r="H52" s="5">
        <f t="shared" si="35"/>
        <v>0</v>
      </c>
      <c r="I52" s="5">
        <f t="shared" si="35"/>
        <v>0</v>
      </c>
      <c r="J52" s="5">
        <f t="shared" si="35"/>
        <v>0</v>
      </c>
      <c r="K52" s="5">
        <f t="shared" si="35"/>
        <v>0</v>
      </c>
      <c r="L52" s="5">
        <f t="shared" si="35"/>
        <v>0</v>
      </c>
      <c r="M52" s="5">
        <f t="shared" si="35"/>
        <v>0</v>
      </c>
      <c r="N52" s="5">
        <f t="shared" si="35"/>
        <v>0</v>
      </c>
      <c r="O52" s="5">
        <f t="shared" si="35"/>
        <v>0</v>
      </c>
      <c r="P52" s="173"/>
      <c r="X52" s="104"/>
    </row>
    <row r="53" spans="1:27" x14ac:dyDescent="0.25">
      <c r="A53" s="49" t="s">
        <v>255</v>
      </c>
      <c r="B53" s="54" t="s">
        <v>31</v>
      </c>
      <c r="C53" s="55" t="s">
        <v>12</v>
      </c>
      <c r="D53" s="375"/>
      <c r="E53" s="5">
        <f>IFERROR((E44/E4),0)</f>
        <v>0</v>
      </c>
      <c r="F53" s="5">
        <f>IFERROR(IF($D$48="Método 1",Auxilar!G19/Auxilar!G13,IF($D$48="Método 2",F44/F4,0)),0)</f>
        <v>0</v>
      </c>
      <c r="G53" s="5">
        <f>IFERROR(IF($D$48="Método 1",Auxilar!H19/Auxilar!H13,IF($D$48="Método 2",G44/G4,0)),0)</f>
        <v>0</v>
      </c>
      <c r="H53" s="5">
        <f>IFERROR(IF($D$48="Método 1",Auxilar!I19/Auxilar!I13,IF($D$48="Método 2",H44/H4,0)),0)</f>
        <v>0</v>
      </c>
      <c r="I53" s="5">
        <f>IFERROR(IF($D$48="Método 1",Auxilar!J19/Auxilar!J13,IF($D$48="Método 2",I44/I4,0)),0)</f>
        <v>0</v>
      </c>
      <c r="J53" s="5">
        <f>IFERROR(IF($D$48="Método 1",Auxilar!K19/Auxilar!K13,IF($D$48="Método 2",J44/J4,0)),0)</f>
        <v>0</v>
      </c>
      <c r="K53" s="5">
        <f>IFERROR(IF($D$48="Método 1",Auxilar!L19/Auxilar!L13,IF($D$48="Método 2",K44/K4,0)),0)</f>
        <v>0</v>
      </c>
      <c r="L53" s="5">
        <f>IFERROR(IF($D$48="Método 1",Auxilar!M19/Auxilar!M13,IF($D$48="Método 2",L44/L4,0)),0)</f>
        <v>0</v>
      </c>
      <c r="M53" s="5">
        <f>IFERROR(IF($D$48="Método 1",Auxilar!N19/Auxilar!N13,IF($D$48="Método 2",M44/M4,0)),0)</f>
        <v>0</v>
      </c>
      <c r="N53" s="5">
        <f>IFERROR(IF($D$48="Método 1",Auxilar!O19/Auxilar!O13,IF($D$48="Método 2",N44/N4,0)),0)</f>
        <v>0</v>
      </c>
      <c r="O53" s="5">
        <f>IFERROR(IF($D$48="Método 1",Auxilar!P19/Auxilar!P13,IF($D$48="Método 2",O44/O4,0)),0)</f>
        <v>0</v>
      </c>
      <c r="P53" s="173"/>
    </row>
    <row r="54" spans="1:27" x14ac:dyDescent="0.25">
      <c r="A54" s="49" t="s">
        <v>256</v>
      </c>
      <c r="B54" s="59" t="s">
        <v>29</v>
      </c>
      <c r="C54" s="55" t="s">
        <v>12</v>
      </c>
      <c r="D54" s="375"/>
      <c r="E54" s="5">
        <f>IFERROR((E45/E4),0)</f>
        <v>0</v>
      </c>
      <c r="F54" s="5">
        <f>IFERROR(IF($D$48="Método 1",Auxilar!G20/Auxilar!G13,IF($D$48="Método 2",F45/F4,0)),0)</f>
        <v>0</v>
      </c>
      <c r="G54" s="5">
        <f>IFERROR(IF($D$48="Método 1",Auxilar!H20/Auxilar!H13,IF($D$48="Método 2",G45/G4,0)),0)</f>
        <v>0</v>
      </c>
      <c r="H54" s="5">
        <f>IFERROR(IF($D$48="Método 1",Auxilar!I20/Auxilar!I13,IF($D$48="Método 2",H45/H4,0)),0)</f>
        <v>0</v>
      </c>
      <c r="I54" s="5">
        <f>IFERROR(IF($D$48="Método 1",Auxilar!J20/Auxilar!J13,IF($D$48="Método 2",I45/I4,0)),0)</f>
        <v>0</v>
      </c>
      <c r="J54" s="5">
        <f>IFERROR(IF($D$48="Método 1",Auxilar!K20/Auxilar!K13,IF($D$48="Método 2",J45/J4,0)),0)</f>
        <v>0</v>
      </c>
      <c r="K54" s="5">
        <f>IFERROR(IF($D$48="Método 1",Auxilar!L20/Auxilar!L13,IF($D$48="Método 2",K45/K4,0)),0)</f>
        <v>0</v>
      </c>
      <c r="L54" s="5">
        <f>IFERROR(IF($D$48="Método 1",Auxilar!M20/Auxilar!M13,IF($D$48="Método 2",L45/L4,0)),0)</f>
        <v>0</v>
      </c>
      <c r="M54" s="5">
        <f>IFERROR(IF($D$48="Método 1",Auxilar!N20/Auxilar!N13,IF($D$48="Método 2",M45/M4,0)),0)</f>
        <v>0</v>
      </c>
      <c r="N54" s="5">
        <f>IFERROR(IF($D$48="Método 1",Auxilar!O20/Auxilar!O13,IF($D$48="Método 2",N45/N4,0)),0)</f>
        <v>0</v>
      </c>
      <c r="O54" s="5">
        <f>IFERROR(IF($D$48="Método 1",Auxilar!P20/Auxilar!P13,IF($D$48="Método 2",O45/O4,0)),0)</f>
        <v>0</v>
      </c>
      <c r="P54" s="173"/>
      <c r="Q54" s="103"/>
    </row>
    <row r="55" spans="1:27" x14ac:dyDescent="0.25">
      <c r="A55" s="49" t="s">
        <v>257</v>
      </c>
      <c r="B55" s="59" t="s">
        <v>30</v>
      </c>
      <c r="C55" s="55" t="s">
        <v>12</v>
      </c>
      <c r="D55" s="376"/>
      <c r="E55" s="5">
        <f>IFERROR((E46/E4),0)</f>
        <v>0</v>
      </c>
      <c r="F55" s="5">
        <f>IFERROR(IF($D$48="Método 1",Auxilar!G21/Auxilar!G13,IF($D$48="Método 2",F46/F4,0)),0)</f>
        <v>0</v>
      </c>
      <c r="G55" s="5">
        <f>IFERROR(IF($D$48="Método 1",Auxilar!H21/Auxilar!H13,IF($D$48="Método 2",G46/G4,0)),0)</f>
        <v>0</v>
      </c>
      <c r="H55" s="5">
        <f>IFERROR(IF($D$48="Método 1",Auxilar!I21/Auxilar!I13,IF($D$48="Método 2",H46/H4,0)),0)</f>
        <v>0</v>
      </c>
      <c r="I55" s="5">
        <f>IFERROR(IF($D$48="Método 1",Auxilar!J21/Auxilar!J13,IF($D$48="Método 2",I46/I4,0)),0)</f>
        <v>0</v>
      </c>
      <c r="J55" s="5">
        <f>IFERROR(IF($D$48="Método 1",Auxilar!K21/Auxilar!K13,IF($D$48="Método 2",J46/J4,0)),0)</f>
        <v>0</v>
      </c>
      <c r="K55" s="5">
        <f>IFERROR(IF($D$48="Método 1",Auxilar!L21/Auxilar!L13,IF($D$48="Método 2",K46/K4,0)),0)</f>
        <v>0</v>
      </c>
      <c r="L55" s="5">
        <f>IFERROR(IF($D$48="Método 1",Auxilar!M21/Auxilar!M13,IF($D$48="Método 2",L46/L4,0)),0)</f>
        <v>0</v>
      </c>
      <c r="M55" s="5">
        <f>IFERROR(IF($D$48="Método 1",Auxilar!N21/Auxilar!N13,IF($D$48="Método 2",M46/M4,0)),0)</f>
        <v>0</v>
      </c>
      <c r="N55" s="5">
        <f>IFERROR(IF($D$48="Método 1",Auxilar!O21/Auxilar!O13,IF($D$48="Método 2",N46/N4,0)),0)</f>
        <v>0</v>
      </c>
      <c r="O55" s="5">
        <f>IFERROR(IF($D$48="Método 1",Auxilar!P21/Auxilar!P13,IF($D$48="Método 2",O46/O4,0)),0)</f>
        <v>0</v>
      </c>
      <c r="P55" s="173"/>
    </row>
    <row r="56" spans="1:27" x14ac:dyDescent="0.25">
      <c r="A56" s="133" t="s">
        <v>258</v>
      </c>
      <c r="B56" s="48" t="s">
        <v>60</v>
      </c>
      <c r="C56" s="48"/>
      <c r="D56" s="48"/>
      <c r="E56" s="48"/>
      <c r="F56" s="48"/>
      <c r="G56" s="48"/>
      <c r="H56" s="48"/>
      <c r="I56" s="48"/>
      <c r="J56" s="48"/>
      <c r="K56" s="48"/>
      <c r="L56" s="48"/>
      <c r="M56" s="48"/>
      <c r="N56" s="48"/>
      <c r="O56" s="48"/>
      <c r="P56" s="48"/>
    </row>
    <row r="57" spans="1:27" x14ac:dyDescent="0.25">
      <c r="A57" s="49" t="s">
        <v>259</v>
      </c>
      <c r="B57" s="56" t="s">
        <v>63</v>
      </c>
      <c r="C57" s="55" t="s">
        <v>14</v>
      </c>
      <c r="D57" s="254"/>
      <c r="E57" s="4">
        <f>SUM(E58:E60)</f>
        <v>0</v>
      </c>
      <c r="F57" s="4">
        <f>SUM(F58:F60)</f>
        <v>0</v>
      </c>
      <c r="G57" s="4">
        <f t="shared" ref="G57:O57" si="36">SUM(G58:G60)</f>
        <v>0</v>
      </c>
      <c r="H57" s="4">
        <f>SUM(H58:H60)</f>
        <v>0</v>
      </c>
      <c r="I57" s="4">
        <f>SUM(I58:I60)</f>
        <v>0</v>
      </c>
      <c r="J57" s="4">
        <f t="shared" si="36"/>
        <v>0</v>
      </c>
      <c r="K57" s="4">
        <f t="shared" si="36"/>
        <v>0</v>
      </c>
      <c r="L57" s="4">
        <f t="shared" si="36"/>
        <v>0</v>
      </c>
      <c r="M57" s="4">
        <f t="shared" si="36"/>
        <v>0</v>
      </c>
      <c r="N57" s="4">
        <f t="shared" si="36"/>
        <v>0</v>
      </c>
      <c r="O57" s="4">
        <f t="shared" si="36"/>
        <v>0</v>
      </c>
      <c r="P57" s="173"/>
    </row>
    <row r="58" spans="1:27" x14ac:dyDescent="0.25">
      <c r="A58" s="49" t="s">
        <v>263</v>
      </c>
      <c r="B58" s="54" t="s">
        <v>31</v>
      </c>
      <c r="C58" s="55" t="s">
        <v>14</v>
      </c>
      <c r="D58" s="53"/>
      <c r="E58" s="290"/>
      <c r="F58" s="290"/>
      <c r="G58" s="290"/>
      <c r="H58" s="290"/>
      <c r="I58" s="290"/>
      <c r="J58" s="290"/>
      <c r="K58" s="290"/>
      <c r="L58" s="290"/>
      <c r="M58" s="290"/>
      <c r="N58" s="290"/>
      <c r="O58" s="290"/>
      <c r="P58" s="173"/>
      <c r="Y58" s="105"/>
      <c r="Z58" s="105"/>
      <c r="AA58" s="105"/>
    </row>
    <row r="59" spans="1:27" x14ac:dyDescent="0.25">
      <c r="A59" s="49" t="s">
        <v>260</v>
      </c>
      <c r="B59" s="59" t="s">
        <v>29</v>
      </c>
      <c r="C59" s="55" t="s">
        <v>14</v>
      </c>
      <c r="D59" s="53"/>
      <c r="E59" s="290"/>
      <c r="F59" s="290"/>
      <c r="G59" s="290"/>
      <c r="H59" s="290"/>
      <c r="I59" s="290"/>
      <c r="J59" s="290"/>
      <c r="K59" s="290"/>
      <c r="L59" s="290"/>
      <c r="M59" s="290"/>
      <c r="N59" s="290"/>
      <c r="O59" s="290"/>
      <c r="P59" s="173"/>
      <c r="Y59" s="106"/>
      <c r="Z59" s="106"/>
      <c r="AA59" s="106"/>
    </row>
    <row r="60" spans="1:27" x14ac:dyDescent="0.25">
      <c r="A60" s="49" t="s">
        <v>261</v>
      </c>
      <c r="B60" s="59" t="s">
        <v>30</v>
      </c>
      <c r="C60" s="55" t="s">
        <v>14</v>
      </c>
      <c r="D60" s="53"/>
      <c r="E60" s="290"/>
      <c r="F60" s="290"/>
      <c r="G60" s="290"/>
      <c r="H60" s="290"/>
      <c r="I60" s="290"/>
      <c r="J60" s="290"/>
      <c r="K60" s="290"/>
      <c r="L60" s="290"/>
      <c r="M60" s="290"/>
      <c r="N60" s="290"/>
      <c r="O60" s="290"/>
      <c r="P60" s="173"/>
    </row>
    <row r="61" spans="1:27" x14ac:dyDescent="0.25">
      <c r="A61" s="49" t="s">
        <v>262</v>
      </c>
      <c r="B61" s="56" t="s">
        <v>64</v>
      </c>
      <c r="C61" s="55" t="s">
        <v>14</v>
      </c>
      <c r="D61" s="53"/>
      <c r="E61" s="4">
        <f>SUM(E62:E64)</f>
        <v>0</v>
      </c>
      <c r="F61" s="4">
        <f>SUM(F62:F64)</f>
        <v>0</v>
      </c>
      <c r="G61" s="4">
        <f t="shared" ref="G61:O61" si="37">SUM(G62:G64)</f>
        <v>0</v>
      </c>
      <c r="H61" s="4">
        <f t="shared" si="37"/>
        <v>0</v>
      </c>
      <c r="I61" s="4">
        <f t="shared" si="37"/>
        <v>0</v>
      </c>
      <c r="J61" s="4">
        <f t="shared" si="37"/>
        <v>0</v>
      </c>
      <c r="K61" s="4">
        <f t="shared" si="37"/>
        <v>0</v>
      </c>
      <c r="L61" s="4">
        <f t="shared" si="37"/>
        <v>0</v>
      </c>
      <c r="M61" s="4">
        <f t="shared" si="37"/>
        <v>0</v>
      </c>
      <c r="N61" s="4">
        <f t="shared" si="37"/>
        <v>0</v>
      </c>
      <c r="O61" s="4">
        <f t="shared" si="37"/>
        <v>0</v>
      </c>
      <c r="P61" s="173"/>
    </row>
    <row r="62" spans="1:27" x14ac:dyDescent="0.25">
      <c r="A62" s="49" t="s">
        <v>264</v>
      </c>
      <c r="B62" s="54" t="s">
        <v>31</v>
      </c>
      <c r="C62" s="55" t="s">
        <v>14</v>
      </c>
      <c r="D62" s="53"/>
      <c r="E62" s="290"/>
      <c r="F62" s="290"/>
      <c r="G62" s="290"/>
      <c r="H62" s="290"/>
      <c r="I62" s="290"/>
      <c r="J62" s="290"/>
      <c r="K62" s="290"/>
      <c r="L62" s="290"/>
      <c r="M62" s="290"/>
      <c r="N62" s="290"/>
      <c r="O62" s="290"/>
      <c r="P62" s="173"/>
    </row>
    <row r="63" spans="1:27" x14ac:dyDescent="0.25">
      <c r="A63" s="49" t="s">
        <v>265</v>
      </c>
      <c r="B63" s="59" t="s">
        <v>29</v>
      </c>
      <c r="C63" s="55" t="s">
        <v>14</v>
      </c>
      <c r="D63" s="53"/>
      <c r="E63" s="290"/>
      <c r="F63" s="290"/>
      <c r="G63" s="290"/>
      <c r="H63" s="290"/>
      <c r="I63" s="290"/>
      <c r="J63" s="290"/>
      <c r="K63" s="290"/>
      <c r="L63" s="290"/>
      <c r="M63" s="290"/>
      <c r="N63" s="290"/>
      <c r="O63" s="290"/>
      <c r="P63" s="173"/>
    </row>
    <row r="64" spans="1:27" x14ac:dyDescent="0.25">
      <c r="A64" s="49" t="s">
        <v>266</v>
      </c>
      <c r="B64" s="59" t="s">
        <v>30</v>
      </c>
      <c r="C64" s="55" t="s">
        <v>14</v>
      </c>
      <c r="D64" s="53"/>
      <c r="E64" s="290"/>
      <c r="F64" s="290"/>
      <c r="G64" s="290"/>
      <c r="H64" s="290"/>
      <c r="I64" s="290"/>
      <c r="J64" s="290"/>
      <c r="K64" s="290"/>
      <c r="L64" s="290"/>
      <c r="M64" s="290"/>
      <c r="N64" s="290"/>
      <c r="O64" s="290"/>
      <c r="P64" s="173"/>
    </row>
    <row r="65" spans="1:22" x14ac:dyDescent="0.25">
      <c r="A65" s="133" t="s">
        <v>86</v>
      </c>
      <c r="B65" s="50" t="s">
        <v>61</v>
      </c>
      <c r="C65" s="50"/>
      <c r="D65" s="50"/>
      <c r="E65" s="50"/>
      <c r="F65" s="50"/>
      <c r="G65" s="50"/>
      <c r="H65" s="50"/>
      <c r="I65" s="50"/>
      <c r="J65" s="50"/>
      <c r="K65" s="50"/>
      <c r="L65" s="50"/>
      <c r="M65" s="50"/>
      <c r="N65" s="50"/>
      <c r="O65" s="50"/>
      <c r="P65" s="48"/>
    </row>
    <row r="66" spans="1:22" x14ac:dyDescent="0.25">
      <c r="A66" s="49" t="s">
        <v>267</v>
      </c>
      <c r="B66" s="56" t="s">
        <v>63</v>
      </c>
      <c r="C66" s="55" t="s">
        <v>12</v>
      </c>
      <c r="D66" s="49"/>
      <c r="E66" s="5">
        <f t="shared" ref="E66:O66" si="38">IFERROR((E57/E7),0)</f>
        <v>0</v>
      </c>
      <c r="F66" s="5">
        <f t="shared" si="38"/>
        <v>0</v>
      </c>
      <c r="G66" s="5">
        <f t="shared" si="38"/>
        <v>0</v>
      </c>
      <c r="H66" s="5">
        <f t="shared" si="38"/>
        <v>0</v>
      </c>
      <c r="I66" s="191">
        <f t="shared" si="38"/>
        <v>0</v>
      </c>
      <c r="J66" s="5">
        <f t="shared" si="38"/>
        <v>0</v>
      </c>
      <c r="K66" s="5">
        <f t="shared" si="38"/>
        <v>0</v>
      </c>
      <c r="L66" s="5">
        <f t="shared" si="38"/>
        <v>0</v>
      </c>
      <c r="M66" s="5">
        <f t="shared" si="38"/>
        <v>0</v>
      </c>
      <c r="N66" s="5">
        <f t="shared" si="38"/>
        <v>0</v>
      </c>
      <c r="O66" s="5">
        <f t="shared" si="38"/>
        <v>0</v>
      </c>
      <c r="P66" s="173"/>
    </row>
    <row r="67" spans="1:22" x14ac:dyDescent="0.25">
      <c r="A67" s="49" t="s">
        <v>268</v>
      </c>
      <c r="B67" s="54" t="s">
        <v>31</v>
      </c>
      <c r="C67" s="55" t="s">
        <v>12</v>
      </c>
      <c r="D67" s="61"/>
      <c r="E67" s="5">
        <f t="shared" ref="E67:O67" si="39">IFERROR((E58/E7),0)</f>
        <v>0</v>
      </c>
      <c r="F67" s="5">
        <f>IFERROR((F58/F7),0)</f>
        <v>0</v>
      </c>
      <c r="G67" s="5">
        <f t="shared" si="39"/>
        <v>0</v>
      </c>
      <c r="H67" s="5">
        <f>IFERROR((H58/H7),0)</f>
        <v>0</v>
      </c>
      <c r="I67" s="5">
        <f>IFERROR((I58/I7),0)</f>
        <v>0</v>
      </c>
      <c r="J67" s="5">
        <f t="shared" si="39"/>
        <v>0</v>
      </c>
      <c r="K67" s="5">
        <f t="shared" si="39"/>
        <v>0</v>
      </c>
      <c r="L67" s="5">
        <f t="shared" si="39"/>
        <v>0</v>
      </c>
      <c r="M67" s="5">
        <f t="shared" si="39"/>
        <v>0</v>
      </c>
      <c r="N67" s="5">
        <f t="shared" si="39"/>
        <v>0</v>
      </c>
      <c r="O67" s="5">
        <f t="shared" si="39"/>
        <v>0</v>
      </c>
      <c r="P67" s="173"/>
    </row>
    <row r="68" spans="1:22" x14ac:dyDescent="0.25">
      <c r="A68" s="49" t="s">
        <v>269</v>
      </c>
      <c r="B68" s="59" t="s">
        <v>29</v>
      </c>
      <c r="C68" s="55" t="s">
        <v>12</v>
      </c>
      <c r="D68" s="61"/>
      <c r="E68" s="5">
        <f t="shared" ref="E68:O68" si="40">IFERROR((E59/E7),0)</f>
        <v>0</v>
      </c>
      <c r="F68" s="5">
        <f t="shared" si="40"/>
        <v>0</v>
      </c>
      <c r="G68" s="5">
        <f t="shared" si="40"/>
        <v>0</v>
      </c>
      <c r="H68" s="5">
        <f>IFERROR((H59/H7),0)</f>
        <v>0</v>
      </c>
      <c r="I68" s="5">
        <f>IFERROR((I59/I7),0)</f>
        <v>0</v>
      </c>
      <c r="J68" s="5">
        <f t="shared" si="40"/>
        <v>0</v>
      </c>
      <c r="K68" s="5">
        <f t="shared" si="40"/>
        <v>0</v>
      </c>
      <c r="L68" s="5">
        <f t="shared" si="40"/>
        <v>0</v>
      </c>
      <c r="M68" s="5">
        <f t="shared" si="40"/>
        <v>0</v>
      </c>
      <c r="N68" s="5">
        <f t="shared" si="40"/>
        <v>0</v>
      </c>
      <c r="O68" s="5">
        <f t="shared" si="40"/>
        <v>0</v>
      </c>
      <c r="P68" s="173"/>
    </row>
    <row r="69" spans="1:22" x14ac:dyDescent="0.25">
      <c r="A69" s="49" t="s">
        <v>270</v>
      </c>
      <c r="B69" s="59" t="s">
        <v>30</v>
      </c>
      <c r="C69" s="55" t="s">
        <v>12</v>
      </c>
      <c r="D69" s="61"/>
      <c r="E69" s="5">
        <f t="shared" ref="E69:O69" si="41">IFERROR((E60/E7),0)</f>
        <v>0</v>
      </c>
      <c r="F69" s="5">
        <f t="shared" si="41"/>
        <v>0</v>
      </c>
      <c r="G69" s="5">
        <f t="shared" si="41"/>
        <v>0</v>
      </c>
      <c r="H69" s="5">
        <f>IFERROR((H60/H7),0)</f>
        <v>0</v>
      </c>
      <c r="I69" s="5">
        <f>IFERROR((I60/I7),0)</f>
        <v>0</v>
      </c>
      <c r="J69" s="5">
        <f t="shared" si="41"/>
        <v>0</v>
      </c>
      <c r="K69" s="5">
        <f t="shared" si="41"/>
        <v>0</v>
      </c>
      <c r="L69" s="5">
        <f t="shared" si="41"/>
        <v>0</v>
      </c>
      <c r="M69" s="5">
        <f t="shared" si="41"/>
        <v>0</v>
      </c>
      <c r="N69" s="5">
        <f t="shared" si="41"/>
        <v>0</v>
      </c>
      <c r="O69" s="5">
        <f t="shared" si="41"/>
        <v>0</v>
      </c>
      <c r="P69" s="173"/>
    </row>
    <row r="70" spans="1:22" x14ac:dyDescent="0.25">
      <c r="A70" s="49" t="s">
        <v>271</v>
      </c>
      <c r="B70" s="56" t="s">
        <v>64</v>
      </c>
      <c r="C70" s="55" t="s">
        <v>12</v>
      </c>
      <c r="D70" s="49"/>
      <c r="E70" s="5">
        <f t="shared" ref="E70:O70" si="42">IFERROR((E61/E7),0)</f>
        <v>0</v>
      </c>
      <c r="F70" s="5">
        <f t="shared" si="42"/>
        <v>0</v>
      </c>
      <c r="G70" s="5">
        <f t="shared" si="42"/>
        <v>0</v>
      </c>
      <c r="H70" s="5">
        <f t="shared" si="42"/>
        <v>0</v>
      </c>
      <c r="I70" s="5">
        <f t="shared" si="42"/>
        <v>0</v>
      </c>
      <c r="J70" s="5">
        <f t="shared" si="42"/>
        <v>0</v>
      </c>
      <c r="K70" s="5">
        <f t="shared" si="42"/>
        <v>0</v>
      </c>
      <c r="L70" s="5">
        <f t="shared" si="42"/>
        <v>0</v>
      </c>
      <c r="M70" s="5">
        <f t="shared" si="42"/>
        <v>0</v>
      </c>
      <c r="N70" s="5">
        <f t="shared" si="42"/>
        <v>0</v>
      </c>
      <c r="O70" s="5">
        <f t="shared" si="42"/>
        <v>0</v>
      </c>
      <c r="P70" s="173"/>
      <c r="T70" s="104"/>
      <c r="V70" s="104"/>
    </row>
    <row r="71" spans="1:22" x14ac:dyDescent="0.25">
      <c r="A71" s="49" t="s">
        <v>92</v>
      </c>
      <c r="B71" s="54" t="s">
        <v>31</v>
      </c>
      <c r="C71" s="55" t="s">
        <v>12</v>
      </c>
      <c r="D71" s="49"/>
      <c r="E71" s="5">
        <f t="shared" ref="E71:O71" si="43">IFERROR((E62/E7),0)</f>
        <v>0</v>
      </c>
      <c r="F71" s="5">
        <f t="shared" si="43"/>
        <v>0</v>
      </c>
      <c r="G71" s="5">
        <f t="shared" si="43"/>
        <v>0</v>
      </c>
      <c r="H71" s="5">
        <f t="shared" si="43"/>
        <v>0</v>
      </c>
      <c r="I71" s="5">
        <f t="shared" si="43"/>
        <v>0</v>
      </c>
      <c r="J71" s="5">
        <f t="shared" si="43"/>
        <v>0</v>
      </c>
      <c r="K71" s="5">
        <f t="shared" si="43"/>
        <v>0</v>
      </c>
      <c r="L71" s="5">
        <f t="shared" si="43"/>
        <v>0</v>
      </c>
      <c r="M71" s="5">
        <f t="shared" si="43"/>
        <v>0</v>
      </c>
      <c r="N71" s="5">
        <f t="shared" si="43"/>
        <v>0</v>
      </c>
      <c r="O71" s="5">
        <f t="shared" si="43"/>
        <v>0</v>
      </c>
      <c r="P71" s="173"/>
    </row>
    <row r="72" spans="1:22" x14ac:dyDescent="0.25">
      <c r="A72" s="49" t="s">
        <v>229</v>
      </c>
      <c r="B72" s="59" t="s">
        <v>29</v>
      </c>
      <c r="C72" s="55" t="s">
        <v>12</v>
      </c>
      <c r="D72" s="49"/>
      <c r="E72" s="5">
        <f t="shared" ref="E72:O72" si="44">IFERROR((E63/E7),0)</f>
        <v>0</v>
      </c>
      <c r="F72" s="5">
        <f t="shared" si="44"/>
        <v>0</v>
      </c>
      <c r="G72" s="5">
        <f t="shared" si="44"/>
        <v>0</v>
      </c>
      <c r="H72" s="5">
        <f t="shared" si="44"/>
        <v>0</v>
      </c>
      <c r="I72" s="5">
        <f t="shared" si="44"/>
        <v>0</v>
      </c>
      <c r="J72" s="5">
        <f t="shared" si="44"/>
        <v>0</v>
      </c>
      <c r="K72" s="5">
        <f t="shared" si="44"/>
        <v>0</v>
      </c>
      <c r="L72" s="5">
        <f t="shared" si="44"/>
        <v>0</v>
      </c>
      <c r="M72" s="5">
        <f t="shared" si="44"/>
        <v>0</v>
      </c>
      <c r="N72" s="5">
        <f t="shared" si="44"/>
        <v>0</v>
      </c>
      <c r="O72" s="5">
        <f t="shared" si="44"/>
        <v>0</v>
      </c>
      <c r="P72" s="173"/>
    </row>
    <row r="73" spans="1:22" x14ac:dyDescent="0.25">
      <c r="A73" s="49" t="s">
        <v>230</v>
      </c>
      <c r="B73" s="59" t="s">
        <v>30</v>
      </c>
      <c r="C73" s="55" t="s">
        <v>12</v>
      </c>
      <c r="D73" s="49"/>
      <c r="E73" s="5">
        <f t="shared" ref="E73:O73" si="45">IFERROR((E64/E7),0)</f>
        <v>0</v>
      </c>
      <c r="F73" s="5">
        <f t="shared" si="45"/>
        <v>0</v>
      </c>
      <c r="G73" s="5">
        <f t="shared" si="45"/>
        <v>0</v>
      </c>
      <c r="H73" s="5">
        <f t="shared" si="45"/>
        <v>0</v>
      </c>
      <c r="I73" s="5">
        <f t="shared" si="45"/>
        <v>0</v>
      </c>
      <c r="J73" s="5">
        <f t="shared" si="45"/>
        <v>0</v>
      </c>
      <c r="K73" s="5">
        <f t="shared" si="45"/>
        <v>0</v>
      </c>
      <c r="L73" s="5">
        <f t="shared" si="45"/>
        <v>0</v>
      </c>
      <c r="M73" s="5">
        <f t="shared" si="45"/>
        <v>0</v>
      </c>
      <c r="N73" s="5">
        <f t="shared" si="45"/>
        <v>0</v>
      </c>
      <c r="O73" s="5">
        <f t="shared" si="45"/>
        <v>0</v>
      </c>
      <c r="P73" s="173"/>
    </row>
    <row r="74" spans="1:22" x14ac:dyDescent="0.25">
      <c r="A74" s="133" t="s">
        <v>98</v>
      </c>
      <c r="B74" s="50" t="s">
        <v>32</v>
      </c>
      <c r="C74" s="50"/>
      <c r="D74" s="50"/>
      <c r="E74" s="50"/>
      <c r="F74" s="50"/>
      <c r="G74" s="50"/>
      <c r="H74" s="50"/>
      <c r="I74" s="50"/>
      <c r="J74" s="50"/>
      <c r="K74" s="50"/>
      <c r="L74" s="50"/>
      <c r="M74" s="50"/>
      <c r="N74" s="50"/>
      <c r="O74" s="50"/>
      <c r="P74" s="48"/>
    </row>
    <row r="75" spans="1:22" x14ac:dyDescent="0.25">
      <c r="A75" s="49" t="s">
        <v>272</v>
      </c>
      <c r="B75" s="56" t="s">
        <v>101</v>
      </c>
      <c r="C75" s="55" t="s">
        <v>14</v>
      </c>
      <c r="D75" s="49"/>
      <c r="E75" s="4">
        <f>SUM(E76+E80)</f>
        <v>0</v>
      </c>
      <c r="F75" s="4">
        <f>SUM(F76+F80)</f>
        <v>0</v>
      </c>
      <c r="G75" s="4">
        <f t="shared" ref="G75:O75" si="46">SUM(G76+G80)</f>
        <v>0</v>
      </c>
      <c r="H75" s="4">
        <f t="shared" si="46"/>
        <v>0</v>
      </c>
      <c r="I75" s="4">
        <f t="shared" si="46"/>
        <v>0</v>
      </c>
      <c r="J75" s="4">
        <f t="shared" si="46"/>
        <v>0</v>
      </c>
      <c r="K75" s="4">
        <f t="shared" si="46"/>
        <v>0</v>
      </c>
      <c r="L75" s="4">
        <f t="shared" si="46"/>
        <v>0</v>
      </c>
      <c r="M75" s="4">
        <f t="shared" si="46"/>
        <v>0</v>
      </c>
      <c r="N75" s="4">
        <f t="shared" si="46"/>
        <v>0</v>
      </c>
      <c r="O75" s="4">
        <f t="shared" si="46"/>
        <v>0</v>
      </c>
      <c r="P75" s="173"/>
    </row>
    <row r="76" spans="1:22" x14ac:dyDescent="0.25">
      <c r="A76" s="49" t="s">
        <v>273</v>
      </c>
      <c r="B76" s="59" t="s">
        <v>443</v>
      </c>
      <c r="C76" s="55" t="s">
        <v>14</v>
      </c>
      <c r="D76" s="56"/>
      <c r="E76" s="4">
        <f t="shared" ref="E76:O76" si="47">SUM(E77:E79)</f>
        <v>0</v>
      </c>
      <c r="F76" s="4">
        <f t="shared" si="47"/>
        <v>0</v>
      </c>
      <c r="G76" s="4">
        <f t="shared" si="47"/>
        <v>0</v>
      </c>
      <c r="H76" s="4">
        <f t="shared" si="47"/>
        <v>0</v>
      </c>
      <c r="I76" s="4">
        <f t="shared" si="47"/>
        <v>0</v>
      </c>
      <c r="J76" s="4">
        <f t="shared" si="47"/>
        <v>0</v>
      </c>
      <c r="K76" s="4">
        <f t="shared" si="47"/>
        <v>0</v>
      </c>
      <c r="L76" s="4">
        <f t="shared" si="47"/>
        <v>0</v>
      </c>
      <c r="M76" s="4">
        <f t="shared" si="47"/>
        <v>0</v>
      </c>
      <c r="N76" s="4">
        <f t="shared" si="47"/>
        <v>0</v>
      </c>
      <c r="O76" s="4">
        <f t="shared" si="47"/>
        <v>0</v>
      </c>
      <c r="P76" s="173"/>
    </row>
    <row r="77" spans="1:22" x14ac:dyDescent="0.25">
      <c r="A77" s="49" t="s">
        <v>274</v>
      </c>
      <c r="B77" s="57" t="s">
        <v>31</v>
      </c>
      <c r="C77" s="55" t="s">
        <v>14</v>
      </c>
      <c r="D77" s="49"/>
      <c r="E77" s="290"/>
      <c r="F77" s="290"/>
      <c r="G77" s="290"/>
      <c r="H77" s="290"/>
      <c r="I77" s="290"/>
      <c r="J77" s="290"/>
      <c r="K77" s="290"/>
      <c r="L77" s="290"/>
      <c r="M77" s="290"/>
      <c r="N77" s="290"/>
      <c r="O77" s="290"/>
      <c r="P77" s="173"/>
    </row>
    <row r="78" spans="1:22" x14ac:dyDescent="0.25">
      <c r="A78" s="49" t="s">
        <v>275</v>
      </c>
      <c r="B78" s="60" t="s">
        <v>29</v>
      </c>
      <c r="C78" s="55" t="s">
        <v>14</v>
      </c>
      <c r="D78" s="49"/>
      <c r="E78" s="290"/>
      <c r="F78" s="290"/>
      <c r="G78" s="290"/>
      <c r="H78" s="290"/>
      <c r="I78" s="290"/>
      <c r="J78" s="290"/>
      <c r="K78" s="290"/>
      <c r="L78" s="290"/>
      <c r="M78" s="290"/>
      <c r="N78" s="290"/>
      <c r="O78" s="290"/>
      <c r="P78" s="173"/>
    </row>
    <row r="79" spans="1:22" x14ac:dyDescent="0.25">
      <c r="A79" s="49" t="s">
        <v>276</v>
      </c>
      <c r="B79" s="60" t="s">
        <v>30</v>
      </c>
      <c r="C79" s="55" t="s">
        <v>14</v>
      </c>
      <c r="D79" s="49"/>
      <c r="E79" s="290"/>
      <c r="F79" s="290"/>
      <c r="G79" s="290"/>
      <c r="H79" s="290"/>
      <c r="I79" s="290"/>
      <c r="J79" s="290"/>
      <c r="K79" s="290"/>
      <c r="L79" s="290"/>
      <c r="M79" s="290"/>
      <c r="N79" s="290"/>
      <c r="O79" s="290"/>
      <c r="P79" s="173"/>
    </row>
    <row r="80" spans="1:22" x14ac:dyDescent="0.25">
      <c r="A80" s="49" t="s">
        <v>579</v>
      </c>
      <c r="B80" s="59" t="s">
        <v>463</v>
      </c>
      <c r="C80" s="55" t="s">
        <v>14</v>
      </c>
      <c r="D80" s="56"/>
      <c r="E80" s="4">
        <f>SUM(E81:E83)</f>
        <v>0</v>
      </c>
      <c r="F80" s="4">
        <f>SUM(F81:F83)</f>
        <v>0</v>
      </c>
      <c r="G80" s="4">
        <f t="shared" ref="G80:O80" si="48">SUM(G81:G83)</f>
        <v>0</v>
      </c>
      <c r="H80" s="4">
        <f t="shared" si="48"/>
        <v>0</v>
      </c>
      <c r="I80" s="4">
        <f t="shared" si="48"/>
        <v>0</v>
      </c>
      <c r="J80" s="4">
        <f t="shared" si="48"/>
        <v>0</v>
      </c>
      <c r="K80" s="4">
        <f t="shared" si="48"/>
        <v>0</v>
      </c>
      <c r="L80" s="4">
        <f t="shared" si="48"/>
        <v>0</v>
      </c>
      <c r="M80" s="4">
        <f t="shared" si="48"/>
        <v>0</v>
      </c>
      <c r="N80" s="4">
        <f t="shared" si="48"/>
        <v>0</v>
      </c>
      <c r="O80" s="4">
        <f t="shared" si="48"/>
        <v>0</v>
      </c>
      <c r="P80" s="173"/>
    </row>
    <row r="81" spans="1:16" x14ac:dyDescent="0.25">
      <c r="A81" s="49" t="s">
        <v>580</v>
      </c>
      <c r="B81" s="57" t="s">
        <v>31</v>
      </c>
      <c r="C81" s="55" t="s">
        <v>14</v>
      </c>
      <c r="D81" s="49"/>
      <c r="E81" s="290"/>
      <c r="F81" s="290"/>
      <c r="G81" s="290"/>
      <c r="H81" s="290"/>
      <c r="I81" s="290"/>
      <c r="J81" s="290"/>
      <c r="K81" s="290"/>
      <c r="L81" s="290"/>
      <c r="M81" s="290"/>
      <c r="N81" s="290"/>
      <c r="O81" s="290"/>
      <c r="P81" s="173"/>
    </row>
    <row r="82" spans="1:16" x14ac:dyDescent="0.25">
      <c r="A82" s="49" t="s">
        <v>581</v>
      </c>
      <c r="B82" s="60" t="s">
        <v>29</v>
      </c>
      <c r="C82" s="55" t="s">
        <v>14</v>
      </c>
      <c r="D82" s="49"/>
      <c r="E82" s="290"/>
      <c r="F82" s="290"/>
      <c r="G82" s="290"/>
      <c r="H82" s="290"/>
      <c r="I82" s="290"/>
      <c r="J82" s="290"/>
      <c r="K82" s="290"/>
      <c r="L82" s="290"/>
      <c r="M82" s="290"/>
      <c r="N82" s="290"/>
      <c r="O82" s="290"/>
      <c r="P82" s="173"/>
    </row>
    <row r="83" spans="1:16" ht="15" customHeight="1" x14ac:dyDescent="0.25">
      <c r="A83" s="49" t="s">
        <v>582</v>
      </c>
      <c r="B83" s="60" t="s">
        <v>30</v>
      </c>
      <c r="C83" s="55" t="s">
        <v>14</v>
      </c>
      <c r="D83" s="49"/>
      <c r="E83" s="290"/>
      <c r="F83" s="290"/>
      <c r="G83" s="290"/>
      <c r="H83" s="290"/>
      <c r="I83" s="290"/>
      <c r="J83" s="290"/>
      <c r="K83" s="290"/>
      <c r="L83" s="290"/>
      <c r="M83" s="290"/>
      <c r="N83" s="290"/>
      <c r="O83" s="290"/>
      <c r="P83" s="173"/>
    </row>
    <row r="84" spans="1:16" x14ac:dyDescent="0.25">
      <c r="A84" s="132" t="s">
        <v>87</v>
      </c>
      <c r="B84" s="50" t="s">
        <v>33</v>
      </c>
      <c r="C84" s="50"/>
      <c r="D84" s="50"/>
      <c r="E84" s="50"/>
      <c r="F84" s="50"/>
      <c r="G84" s="50"/>
      <c r="H84" s="50"/>
      <c r="I84" s="50"/>
      <c r="J84" s="50"/>
      <c r="K84" s="50"/>
      <c r="L84" s="50"/>
      <c r="M84" s="50"/>
      <c r="N84" s="50"/>
      <c r="O84" s="50"/>
      <c r="P84" s="48"/>
    </row>
    <row r="85" spans="1:16" x14ac:dyDescent="0.25">
      <c r="A85" s="49" t="s">
        <v>93</v>
      </c>
      <c r="B85" s="56" t="s">
        <v>101</v>
      </c>
      <c r="C85" s="61" t="s">
        <v>12</v>
      </c>
      <c r="D85" s="49"/>
      <c r="E85" s="5">
        <f>IFERROR((E75/E10),0)</f>
        <v>0</v>
      </c>
      <c r="F85" s="5">
        <f t="shared" ref="F85:O85" si="49">IFERROR((F75/F10),0)</f>
        <v>0</v>
      </c>
      <c r="G85" s="5">
        <f t="shared" si="49"/>
        <v>0</v>
      </c>
      <c r="H85" s="5">
        <f t="shared" si="49"/>
        <v>0</v>
      </c>
      <c r="I85" s="191">
        <f t="shared" si="49"/>
        <v>0</v>
      </c>
      <c r="J85" s="5">
        <f t="shared" si="49"/>
        <v>0</v>
      </c>
      <c r="K85" s="5">
        <f t="shared" si="49"/>
        <v>0</v>
      </c>
      <c r="L85" s="5">
        <f t="shared" si="49"/>
        <v>0</v>
      </c>
      <c r="M85" s="5">
        <f t="shared" si="49"/>
        <v>0</v>
      </c>
      <c r="N85" s="5">
        <f t="shared" si="49"/>
        <v>0</v>
      </c>
      <c r="O85" s="5">
        <f t="shared" si="49"/>
        <v>0</v>
      </c>
      <c r="P85" s="173"/>
    </row>
    <row r="86" spans="1:16" x14ac:dyDescent="0.25">
      <c r="A86" s="49" t="s">
        <v>277</v>
      </c>
      <c r="B86" s="59" t="s">
        <v>443</v>
      </c>
      <c r="C86" s="61" t="s">
        <v>12</v>
      </c>
      <c r="D86" s="56"/>
      <c r="E86" s="5">
        <f t="shared" ref="E86" si="50">IFERROR((E76/E11),0)</f>
        <v>0</v>
      </c>
      <c r="F86" s="5">
        <f t="shared" ref="F86:O86" si="51">IFERROR((F76/F11),0)</f>
        <v>0</v>
      </c>
      <c r="G86" s="5">
        <f t="shared" si="51"/>
        <v>0</v>
      </c>
      <c r="H86" s="5">
        <f t="shared" si="51"/>
        <v>0</v>
      </c>
      <c r="I86" s="5">
        <f t="shared" si="51"/>
        <v>0</v>
      </c>
      <c r="J86" s="5">
        <f t="shared" si="51"/>
        <v>0</v>
      </c>
      <c r="K86" s="5">
        <f t="shared" si="51"/>
        <v>0</v>
      </c>
      <c r="L86" s="5">
        <f t="shared" si="51"/>
        <v>0</v>
      </c>
      <c r="M86" s="5">
        <f t="shared" si="51"/>
        <v>0</v>
      </c>
      <c r="N86" s="5">
        <f t="shared" si="51"/>
        <v>0</v>
      </c>
      <c r="O86" s="5">
        <f t="shared" si="51"/>
        <v>0</v>
      </c>
      <c r="P86" s="173"/>
    </row>
    <row r="87" spans="1:16" x14ac:dyDescent="0.25">
      <c r="A87" s="49" t="s">
        <v>279</v>
      </c>
      <c r="B87" s="57" t="s">
        <v>31</v>
      </c>
      <c r="C87" s="61" t="s">
        <v>12</v>
      </c>
      <c r="D87" s="49"/>
      <c r="E87" s="5">
        <f t="shared" ref="E87:O87" si="52">IFERROR((E77/E11),0)</f>
        <v>0</v>
      </c>
      <c r="F87" s="5">
        <f t="shared" si="52"/>
        <v>0</v>
      </c>
      <c r="G87" s="5">
        <f t="shared" si="52"/>
        <v>0</v>
      </c>
      <c r="H87" s="5">
        <f t="shared" si="52"/>
        <v>0</v>
      </c>
      <c r="I87" s="5">
        <f t="shared" si="52"/>
        <v>0</v>
      </c>
      <c r="J87" s="5">
        <f t="shared" si="52"/>
        <v>0</v>
      </c>
      <c r="K87" s="5">
        <f t="shared" si="52"/>
        <v>0</v>
      </c>
      <c r="L87" s="5">
        <f t="shared" si="52"/>
        <v>0</v>
      </c>
      <c r="M87" s="5">
        <f t="shared" si="52"/>
        <v>0</v>
      </c>
      <c r="N87" s="5">
        <f t="shared" si="52"/>
        <v>0</v>
      </c>
      <c r="O87" s="5">
        <f t="shared" si="52"/>
        <v>0</v>
      </c>
      <c r="P87" s="173"/>
    </row>
    <row r="88" spans="1:16" x14ac:dyDescent="0.25">
      <c r="A88" s="49" t="s">
        <v>280</v>
      </c>
      <c r="B88" s="60" t="s">
        <v>29</v>
      </c>
      <c r="C88" s="61" t="s">
        <v>12</v>
      </c>
      <c r="D88" s="49"/>
      <c r="E88" s="5">
        <f>IFERROR((E78/E11),0)</f>
        <v>0</v>
      </c>
      <c r="F88" s="5">
        <f t="shared" ref="F88:O88" si="53">IFERROR((F78/F11),0)</f>
        <v>0</v>
      </c>
      <c r="G88" s="5">
        <f t="shared" si="53"/>
        <v>0</v>
      </c>
      <c r="H88" s="5">
        <f t="shared" si="53"/>
        <v>0</v>
      </c>
      <c r="I88" s="5">
        <f t="shared" si="53"/>
        <v>0</v>
      </c>
      <c r="J88" s="5">
        <f t="shared" si="53"/>
        <v>0</v>
      </c>
      <c r="K88" s="5">
        <f t="shared" si="53"/>
        <v>0</v>
      </c>
      <c r="L88" s="5">
        <f t="shared" si="53"/>
        <v>0</v>
      </c>
      <c r="M88" s="5">
        <f t="shared" si="53"/>
        <v>0</v>
      </c>
      <c r="N88" s="5">
        <f t="shared" si="53"/>
        <v>0</v>
      </c>
      <c r="O88" s="5">
        <f t="shared" si="53"/>
        <v>0</v>
      </c>
      <c r="P88" s="173"/>
    </row>
    <row r="89" spans="1:16" x14ac:dyDescent="0.25">
      <c r="A89" s="49" t="s">
        <v>281</v>
      </c>
      <c r="B89" s="60" t="s">
        <v>30</v>
      </c>
      <c r="C89" s="61" t="s">
        <v>12</v>
      </c>
      <c r="D89" s="49"/>
      <c r="E89" s="5">
        <f>IFERROR((E79/E11),0)</f>
        <v>0</v>
      </c>
      <c r="F89" s="5">
        <f t="shared" ref="F89:O89" si="54">IFERROR((F79/F11),0)</f>
        <v>0</v>
      </c>
      <c r="G89" s="5">
        <f t="shared" si="54"/>
        <v>0</v>
      </c>
      <c r="H89" s="5">
        <f t="shared" si="54"/>
        <v>0</v>
      </c>
      <c r="I89" s="5">
        <f t="shared" si="54"/>
        <v>0</v>
      </c>
      <c r="J89" s="5">
        <f t="shared" si="54"/>
        <v>0</v>
      </c>
      <c r="K89" s="5">
        <f t="shared" si="54"/>
        <v>0</v>
      </c>
      <c r="L89" s="5">
        <f t="shared" si="54"/>
        <v>0</v>
      </c>
      <c r="M89" s="5">
        <f t="shared" si="54"/>
        <v>0</v>
      </c>
      <c r="N89" s="5">
        <f t="shared" si="54"/>
        <v>0</v>
      </c>
      <c r="O89" s="5">
        <f t="shared" si="54"/>
        <v>0</v>
      </c>
      <c r="P89" s="173"/>
    </row>
    <row r="90" spans="1:16" x14ac:dyDescent="0.25">
      <c r="A90" s="49" t="s">
        <v>583</v>
      </c>
      <c r="B90" s="59" t="s">
        <v>463</v>
      </c>
      <c r="C90" s="61" t="s">
        <v>12</v>
      </c>
      <c r="D90" s="49"/>
      <c r="E90" s="5">
        <f>IFERROR((E80/E12),0)</f>
        <v>0</v>
      </c>
      <c r="F90" s="5">
        <f t="shared" ref="F90:O90" si="55">IFERROR((F80/F12),0)</f>
        <v>0</v>
      </c>
      <c r="G90" s="5">
        <f t="shared" si="55"/>
        <v>0</v>
      </c>
      <c r="H90" s="5">
        <f t="shared" si="55"/>
        <v>0</v>
      </c>
      <c r="I90" s="5">
        <f t="shared" si="55"/>
        <v>0</v>
      </c>
      <c r="J90" s="5">
        <f t="shared" si="55"/>
        <v>0</v>
      </c>
      <c r="K90" s="5">
        <f t="shared" si="55"/>
        <v>0</v>
      </c>
      <c r="L90" s="5">
        <f t="shared" si="55"/>
        <v>0</v>
      </c>
      <c r="M90" s="5">
        <f t="shared" si="55"/>
        <v>0</v>
      </c>
      <c r="N90" s="5">
        <f t="shared" si="55"/>
        <v>0</v>
      </c>
      <c r="O90" s="5">
        <f t="shared" si="55"/>
        <v>0</v>
      </c>
      <c r="P90" s="173"/>
    </row>
    <row r="91" spans="1:16" x14ac:dyDescent="0.25">
      <c r="A91" s="49" t="s">
        <v>584</v>
      </c>
      <c r="B91" s="57" t="s">
        <v>31</v>
      </c>
      <c r="C91" s="61" t="s">
        <v>12</v>
      </c>
      <c r="D91" s="49"/>
      <c r="E91" s="5">
        <f>IFERROR((E81/E12),0)</f>
        <v>0</v>
      </c>
      <c r="F91" s="5">
        <f t="shared" ref="F91:O91" si="56">IFERROR((F81/F12),0)</f>
        <v>0</v>
      </c>
      <c r="G91" s="5">
        <f t="shared" si="56"/>
        <v>0</v>
      </c>
      <c r="H91" s="5">
        <f t="shared" si="56"/>
        <v>0</v>
      </c>
      <c r="I91" s="5">
        <f t="shared" si="56"/>
        <v>0</v>
      </c>
      <c r="J91" s="5">
        <f t="shared" si="56"/>
        <v>0</v>
      </c>
      <c r="K91" s="5">
        <f t="shared" si="56"/>
        <v>0</v>
      </c>
      <c r="L91" s="5">
        <f t="shared" si="56"/>
        <v>0</v>
      </c>
      <c r="M91" s="5">
        <f t="shared" si="56"/>
        <v>0</v>
      </c>
      <c r="N91" s="5">
        <f t="shared" si="56"/>
        <v>0</v>
      </c>
      <c r="O91" s="5">
        <f t="shared" si="56"/>
        <v>0</v>
      </c>
      <c r="P91" s="173"/>
    </row>
    <row r="92" spans="1:16" x14ac:dyDescent="0.25">
      <c r="A92" s="49" t="s">
        <v>585</v>
      </c>
      <c r="B92" s="60" t="s">
        <v>29</v>
      </c>
      <c r="C92" s="61" t="s">
        <v>12</v>
      </c>
      <c r="D92" s="49"/>
      <c r="E92" s="5">
        <f>IFERROR((E82/E12),0)</f>
        <v>0</v>
      </c>
      <c r="F92" s="5">
        <f t="shared" ref="F92:O92" si="57">IFERROR((F82/F12),0)</f>
        <v>0</v>
      </c>
      <c r="G92" s="5">
        <f t="shared" si="57"/>
        <v>0</v>
      </c>
      <c r="H92" s="5">
        <f t="shared" si="57"/>
        <v>0</v>
      </c>
      <c r="I92" s="5">
        <f t="shared" si="57"/>
        <v>0</v>
      </c>
      <c r="J92" s="5">
        <f t="shared" si="57"/>
        <v>0</v>
      </c>
      <c r="K92" s="5">
        <f t="shared" si="57"/>
        <v>0</v>
      </c>
      <c r="L92" s="5">
        <f t="shared" si="57"/>
        <v>0</v>
      </c>
      <c r="M92" s="5">
        <f t="shared" si="57"/>
        <v>0</v>
      </c>
      <c r="N92" s="5">
        <f t="shared" si="57"/>
        <v>0</v>
      </c>
      <c r="O92" s="5">
        <f t="shared" si="57"/>
        <v>0</v>
      </c>
      <c r="P92" s="173"/>
    </row>
    <row r="93" spans="1:16" x14ac:dyDescent="0.25">
      <c r="A93" s="49" t="s">
        <v>586</v>
      </c>
      <c r="B93" s="60" t="s">
        <v>30</v>
      </c>
      <c r="C93" s="61" t="s">
        <v>12</v>
      </c>
      <c r="D93" s="49"/>
      <c r="E93" s="5">
        <f>IFERROR((E83/E12),0)</f>
        <v>0</v>
      </c>
      <c r="F93" s="5">
        <f t="shared" ref="F93:O93" si="58">IFERROR((F83/F12),0)</f>
        <v>0</v>
      </c>
      <c r="G93" s="5">
        <f t="shared" si="58"/>
        <v>0</v>
      </c>
      <c r="H93" s="5">
        <f t="shared" si="58"/>
        <v>0</v>
      </c>
      <c r="I93" s="5">
        <f t="shared" si="58"/>
        <v>0</v>
      </c>
      <c r="J93" s="5">
        <f t="shared" si="58"/>
        <v>0</v>
      </c>
      <c r="K93" s="5">
        <f t="shared" si="58"/>
        <v>0</v>
      </c>
      <c r="L93" s="5">
        <f t="shared" si="58"/>
        <v>0</v>
      </c>
      <c r="M93" s="5">
        <f t="shared" si="58"/>
        <v>0</v>
      </c>
      <c r="N93" s="5">
        <f t="shared" si="58"/>
        <v>0</v>
      </c>
      <c r="O93" s="5">
        <f t="shared" si="58"/>
        <v>0</v>
      </c>
      <c r="P93" s="173"/>
    </row>
    <row r="94" spans="1:16" x14ac:dyDescent="0.25">
      <c r="A94" s="51" t="s">
        <v>88</v>
      </c>
      <c r="B94" s="50" t="s">
        <v>35</v>
      </c>
      <c r="C94" s="50"/>
      <c r="D94" s="50"/>
      <c r="E94" s="50"/>
      <c r="F94" s="50"/>
      <c r="G94" s="50"/>
      <c r="H94" s="50"/>
      <c r="I94" s="50"/>
      <c r="J94" s="50"/>
      <c r="K94" s="50"/>
      <c r="L94" s="50"/>
      <c r="M94" s="50"/>
      <c r="N94" s="50"/>
      <c r="O94" s="50"/>
      <c r="P94" s="51"/>
    </row>
    <row r="95" spans="1:16" ht="16.5" customHeight="1" x14ac:dyDescent="0.25">
      <c r="A95" s="49" t="s">
        <v>282</v>
      </c>
      <c r="B95" s="56" t="s">
        <v>65</v>
      </c>
      <c r="C95" s="55" t="s">
        <v>12</v>
      </c>
      <c r="D95" s="56"/>
      <c r="E95" s="5">
        <f t="shared" ref="E95" si="59">IFERROR((E111/E20),0)</f>
        <v>0</v>
      </c>
      <c r="F95" s="5">
        <f t="shared" ref="F95:N95" si="60">IFERROR((F111/F20),0)</f>
        <v>0</v>
      </c>
      <c r="G95" s="5">
        <f t="shared" si="60"/>
        <v>0</v>
      </c>
      <c r="H95" s="5">
        <f t="shared" si="60"/>
        <v>0</v>
      </c>
      <c r="I95" s="5">
        <f t="shared" si="60"/>
        <v>0</v>
      </c>
      <c r="J95" s="5">
        <f t="shared" si="60"/>
        <v>0</v>
      </c>
      <c r="K95" s="5">
        <f t="shared" si="60"/>
        <v>0</v>
      </c>
      <c r="L95" s="5">
        <f t="shared" si="60"/>
        <v>0</v>
      </c>
      <c r="M95" s="5">
        <f t="shared" si="60"/>
        <v>0</v>
      </c>
      <c r="N95" s="5">
        <f t="shared" si="60"/>
        <v>0</v>
      </c>
      <c r="O95" s="5">
        <f>IFERROR((O111/O20),0)</f>
        <v>0</v>
      </c>
      <c r="P95" s="173"/>
    </row>
    <row r="96" spans="1:16" x14ac:dyDescent="0.25">
      <c r="A96" s="49" t="s">
        <v>433</v>
      </c>
      <c r="B96" s="59" t="s">
        <v>63</v>
      </c>
      <c r="C96" s="55" t="s">
        <v>12</v>
      </c>
      <c r="D96" s="49"/>
      <c r="E96" s="5">
        <f t="shared" ref="E96:E97" si="61">IFERROR(E112/E21,0)</f>
        <v>0</v>
      </c>
      <c r="F96" s="5">
        <f t="shared" ref="F96:O96" si="62">IFERROR(F112/F21,0)</f>
        <v>0</v>
      </c>
      <c r="G96" s="5">
        <f t="shared" si="62"/>
        <v>0</v>
      </c>
      <c r="H96" s="5">
        <f t="shared" si="62"/>
        <v>0</v>
      </c>
      <c r="I96" s="5">
        <f t="shared" si="62"/>
        <v>0</v>
      </c>
      <c r="J96" s="5">
        <f t="shared" si="62"/>
        <v>0</v>
      </c>
      <c r="K96" s="5">
        <f t="shared" si="62"/>
        <v>0</v>
      </c>
      <c r="L96" s="5">
        <f t="shared" si="62"/>
        <v>0</v>
      </c>
      <c r="M96" s="5">
        <f t="shared" si="62"/>
        <v>0</v>
      </c>
      <c r="N96" s="5">
        <f t="shared" si="62"/>
        <v>0</v>
      </c>
      <c r="O96" s="5">
        <f t="shared" si="62"/>
        <v>0</v>
      </c>
      <c r="P96" s="173"/>
    </row>
    <row r="97" spans="1:16" x14ac:dyDescent="0.25">
      <c r="A97" s="49" t="s">
        <v>434</v>
      </c>
      <c r="B97" s="60" t="s">
        <v>67</v>
      </c>
      <c r="C97" s="55" t="s">
        <v>12</v>
      </c>
      <c r="D97" s="49"/>
      <c r="E97" s="5">
        <f t="shared" si="61"/>
        <v>0</v>
      </c>
      <c r="F97" s="5">
        <f t="shared" ref="F97:O97" si="63">IFERROR(F113/F22,0)</f>
        <v>0</v>
      </c>
      <c r="G97" s="5">
        <f t="shared" si="63"/>
        <v>0</v>
      </c>
      <c r="H97" s="5">
        <f t="shared" si="63"/>
        <v>0</v>
      </c>
      <c r="I97" s="5">
        <f t="shared" si="63"/>
        <v>0</v>
      </c>
      <c r="J97" s="5">
        <f t="shared" si="63"/>
        <v>0</v>
      </c>
      <c r="K97" s="5">
        <f t="shared" si="63"/>
        <v>0</v>
      </c>
      <c r="L97" s="5">
        <f t="shared" si="63"/>
        <v>0</v>
      </c>
      <c r="M97" s="5">
        <f t="shared" si="63"/>
        <v>0</v>
      </c>
      <c r="N97" s="5">
        <f t="shared" si="63"/>
        <v>0</v>
      </c>
      <c r="O97" s="5">
        <f t="shared" si="63"/>
        <v>0</v>
      </c>
      <c r="P97" s="173"/>
    </row>
    <row r="98" spans="1:16" x14ac:dyDescent="0.25">
      <c r="A98" s="49" t="s">
        <v>535</v>
      </c>
      <c r="B98" s="185" t="s">
        <v>31</v>
      </c>
      <c r="C98" s="55" t="s">
        <v>12</v>
      </c>
      <c r="D98" s="175" t="s">
        <v>123</v>
      </c>
      <c r="E98" s="5">
        <f>IFERROR(E114/E22,0)</f>
        <v>0</v>
      </c>
      <c r="F98" s="5">
        <f>IF('Input Técnico'!$D$98="Valor proposto pelo município",Auxilar!G26,IF('Input Técnico'!$D$98="Valor de referência - Cenário moderado",Lista!E28,IF($D$98="Valor de referência - Cenário otimista",Lista!E39,0)))</f>
        <v>0</v>
      </c>
      <c r="G98" s="5">
        <f>IF('Input Técnico'!$D$98="Valor proposto pelo município",Auxilar!H26,IF('Input Técnico'!$D$98="Valor de referência - Cenário moderado",Lista!F28,IF($D$98="Valor de referência - Cenário otimista",Lista!F39,0)))</f>
        <v>0</v>
      </c>
      <c r="H98" s="5">
        <f>IF('Input Técnico'!$D$98="Valor proposto pelo município",Auxilar!I26,IF('Input Técnico'!$D$98="Valor de referência - Cenário moderado",Lista!G28,IF($D$98="Valor de referência - Cenário otimista",Lista!G39,0)))</f>
        <v>0</v>
      </c>
      <c r="I98" s="5">
        <f>IF('Input Técnico'!$D$98="Valor proposto pelo município",Auxilar!J26,IF('Input Técnico'!$D$98="Valor de referência - Cenário moderado",Lista!H28,IF($D$98="Valor de referência - Cenário otimista",Lista!H39,0)))</f>
        <v>0</v>
      </c>
      <c r="J98" s="5">
        <f>IF('Input Técnico'!$D$98="Valor proposto pelo município",Auxilar!K26,IF('Input Técnico'!$D$98="Valor de referência - Cenário moderado",Lista!I28,IF($D$98="Valor de referência - Cenário otimista",Lista!I39,0)))</f>
        <v>0</v>
      </c>
      <c r="K98" s="5">
        <f>IF('Input Técnico'!$D$98="Valor proposto pelo município",Auxilar!L26,IF('Input Técnico'!$D$98="Valor de referência - Cenário moderado",Lista!J28,IF($D$98="Valor de referência - Cenário otimista",Lista!J39,0)))</f>
        <v>0</v>
      </c>
      <c r="L98" s="5">
        <f>IF('Input Técnico'!$D$98="Valor proposto pelo município",Auxilar!M26,IF('Input Técnico'!$D$98="Valor de referência - Cenário moderado",Lista!K28,IF($D$98="Valor de referência - Cenário otimista",Lista!K39,0)))</f>
        <v>0</v>
      </c>
      <c r="M98" s="5">
        <f>IF('Input Técnico'!$D$98="Valor proposto pelo município",Auxilar!N26,IF('Input Técnico'!$D$98="Valor de referência - Cenário moderado",Lista!L28,IF($D$98="Valor de referência - Cenário otimista",Lista!L39,0)))</f>
        <v>0</v>
      </c>
      <c r="N98" s="5">
        <f>IF('Input Técnico'!$D$98="Valor proposto pelo município",Auxilar!O26,IF('Input Técnico'!$D$98="Valor de referência - Cenário moderado",Lista!M28,IF($D$98="Valor de referência - Cenário otimista",Lista!M39,0)))</f>
        <v>0</v>
      </c>
      <c r="O98" s="5">
        <f>IF('Input Técnico'!$D$98="Valor proposto pelo município",Auxilar!P26,IF('Input Técnico'!$D$98="Valor de referência - Cenário moderado",Lista!N28,IF($D$98="Valor de referência - Cenário otimista",Lista!N39,0)))</f>
        <v>0</v>
      </c>
      <c r="P98" s="173"/>
    </row>
    <row r="99" spans="1:16" x14ac:dyDescent="0.25">
      <c r="A99" s="49" t="s">
        <v>536</v>
      </c>
      <c r="B99" s="185" t="s">
        <v>29</v>
      </c>
      <c r="C99" s="55" t="s">
        <v>12</v>
      </c>
      <c r="D99" s="175" t="s">
        <v>123</v>
      </c>
      <c r="E99" s="5">
        <f>IFERROR(E115/E22,0)</f>
        <v>0</v>
      </c>
      <c r="F99" s="5">
        <f>IF('Input Técnico'!$D$99="Valor proposto pelo município",Auxilar!G27,IF('Input Técnico'!$D$99="Valor de referência - Cenário moderado",Lista!E30,IF($D$99="Valor de referência - Cenário otimista",Lista!E41,0)))</f>
        <v>0</v>
      </c>
      <c r="G99" s="5">
        <f>IF('Input Técnico'!$D$99="Valor proposto pelo município",Auxilar!H27,IF('Input Técnico'!$D$99="Valor de referência - Cenário moderado",Lista!F30,IF($D$99="Valor de referência - Cenário otimista",Lista!F41,0)))</f>
        <v>0</v>
      </c>
      <c r="H99" s="5">
        <f>IF('Input Técnico'!$D$99="Valor proposto pelo município",Auxilar!I27,IF('Input Técnico'!$D$99="Valor de referência - Cenário moderado",Lista!G30,IF($D$99="Valor de referência - Cenário otimista",Lista!G41,0)))</f>
        <v>0</v>
      </c>
      <c r="I99" s="5">
        <f>IF('Input Técnico'!$D$99="Valor proposto pelo município",Auxilar!J27,IF('Input Técnico'!$D$99="Valor de referência - Cenário moderado",Lista!H30,IF($D$99="Valor de referência - Cenário otimista",Lista!H41,0)))</f>
        <v>0</v>
      </c>
      <c r="J99" s="5">
        <f>IF('Input Técnico'!$D$99="Valor proposto pelo município",Auxilar!K27,IF('Input Técnico'!$D$99="Valor de referência - Cenário moderado",Lista!I30,IF($D$99="Valor de referência - Cenário otimista",Lista!I41,0)))</f>
        <v>0</v>
      </c>
      <c r="K99" s="5">
        <f>IF('Input Técnico'!$D$99="Valor proposto pelo município",Auxilar!L27,IF('Input Técnico'!$D$99="Valor de referência - Cenário moderado",Lista!J30,IF($D$99="Valor de referência - Cenário otimista",Lista!J41,0)))</f>
        <v>0</v>
      </c>
      <c r="L99" s="5">
        <f>IF('Input Técnico'!$D$99="Valor proposto pelo município",Auxilar!M27,IF('Input Técnico'!$D$99="Valor de referência - Cenário moderado",Lista!K30,IF($D$99="Valor de referência - Cenário otimista",Lista!K41,0)))</f>
        <v>0</v>
      </c>
      <c r="M99" s="5">
        <f>IF('Input Técnico'!$D$99="Valor proposto pelo município",Auxilar!N27,IF('Input Técnico'!$D$99="Valor de referência - Cenário moderado",Lista!L30,IF($D$99="Valor de referência - Cenário otimista",Lista!L41,0)))</f>
        <v>0</v>
      </c>
      <c r="N99" s="5">
        <f>IF('Input Técnico'!$D$99="Valor proposto pelo município",Auxilar!O27,IF('Input Técnico'!$D$99="Valor de referência - Cenário moderado",Lista!M30,IF($D$99="Valor de referência - Cenário otimista",Lista!M41,0)))</f>
        <v>0</v>
      </c>
      <c r="O99" s="5">
        <f>IF('Input Técnico'!$D$99="Valor proposto pelo município",Auxilar!P27,IF('Input Técnico'!$D$99="Valor de referência - Cenário moderado",Lista!N30,IF($D$99="Valor de referência - Cenário otimista",Lista!N41,0)))</f>
        <v>0</v>
      </c>
      <c r="P99" s="173"/>
    </row>
    <row r="100" spans="1:16" x14ac:dyDescent="0.25">
      <c r="A100" s="49" t="s">
        <v>537</v>
      </c>
      <c r="B100" s="185" t="s">
        <v>30</v>
      </c>
      <c r="C100" s="55" t="s">
        <v>12</v>
      </c>
      <c r="D100" s="175" t="s">
        <v>123</v>
      </c>
      <c r="E100" s="5">
        <f>IFERROR(E116/E22,0)</f>
        <v>0</v>
      </c>
      <c r="F100" s="5">
        <f>IF('Input Técnico'!$D$100="Valor proposto pelo município",Auxilar!G28,IF('Input Técnico'!$D$100="Valor de referência - Cenário moderado",Lista!E32,IF($D$100="Valor de referência - Cenário otimista",Lista!E43,0)))</f>
        <v>0</v>
      </c>
      <c r="G100" s="5">
        <f>IF('Input Técnico'!$D$100="Valor proposto pelo município",Auxilar!H28,IF('Input Técnico'!$D$100="Valor de referência - Cenário moderado",Lista!F32,IF($D$100="Valor de referência - Cenário otimista",Lista!F43,0)))</f>
        <v>0</v>
      </c>
      <c r="H100" s="5">
        <f>IF('Input Técnico'!$D$100="Valor proposto pelo município",Auxilar!I28,IF('Input Técnico'!$D$100="Valor de referência - Cenário moderado",Lista!G32,IF($D$100="Valor de referência - Cenário otimista",Lista!G43,0)))</f>
        <v>0</v>
      </c>
      <c r="I100" s="5">
        <f>IF('Input Técnico'!$D$100="Valor proposto pelo município",Auxilar!J28,IF('Input Técnico'!$D$100="Valor de referência - Cenário moderado",Lista!H32,IF($D$100="Valor de referência - Cenário otimista",Lista!H43,0)))</f>
        <v>0</v>
      </c>
      <c r="J100" s="5">
        <f>IF('Input Técnico'!$D$100="Valor proposto pelo município",Auxilar!K28,IF('Input Técnico'!$D$100="Valor de referência - Cenário moderado",Lista!I32,IF($D$100="Valor de referência - Cenário otimista",Lista!I43,0)))</f>
        <v>0</v>
      </c>
      <c r="K100" s="5">
        <f>IF('Input Técnico'!$D$100="Valor proposto pelo município",Auxilar!L28,IF('Input Técnico'!$D$100="Valor de referência - Cenário moderado",Lista!J32,IF($D$100="Valor de referência - Cenário otimista",Lista!J43,0)))</f>
        <v>0</v>
      </c>
      <c r="L100" s="5">
        <f>IF('Input Técnico'!$D$100="Valor proposto pelo município",Auxilar!M28,IF('Input Técnico'!$D$100="Valor de referência - Cenário moderado",Lista!K32,IF($D$100="Valor de referência - Cenário otimista",Lista!K43,0)))</f>
        <v>0</v>
      </c>
      <c r="M100" s="5">
        <f>IF('Input Técnico'!$D$100="Valor proposto pelo município",Auxilar!N28,IF('Input Técnico'!$D$100="Valor de referência - Cenário moderado",Lista!L32,IF($D$100="Valor de referência - Cenário otimista",Lista!L43,0)))</f>
        <v>0</v>
      </c>
      <c r="N100" s="5">
        <f>IF('Input Técnico'!$D$100="Valor proposto pelo município",Auxilar!O28,IF('Input Técnico'!$D$100="Valor de referência - Cenário moderado",Lista!M32,IF($D$100="Valor de referência - Cenário otimista",Lista!M43,0)))</f>
        <v>0</v>
      </c>
      <c r="O100" s="5">
        <f>IF('Input Técnico'!$D$100="Valor proposto pelo município",Auxilar!P28,IF('Input Técnico'!$D$100="Valor de referência - Cenário moderado",Lista!N32,IF($D$100="Valor de referência - Cenário otimista",Lista!N43,0)))</f>
        <v>0</v>
      </c>
      <c r="P100" s="173"/>
    </row>
    <row r="101" spans="1:16" x14ac:dyDescent="0.25">
      <c r="A101" s="49" t="s">
        <v>435</v>
      </c>
      <c r="B101" s="60" t="s">
        <v>68</v>
      </c>
      <c r="C101" s="55" t="s">
        <v>12</v>
      </c>
      <c r="D101" s="49"/>
      <c r="E101" s="5">
        <f t="shared" ref="E101" si="64">IFERROR(E117/E25,0)</f>
        <v>0</v>
      </c>
      <c r="F101" s="5">
        <f>IFERROR(F117/F25,0)</f>
        <v>0</v>
      </c>
      <c r="G101" s="5">
        <f t="shared" ref="G101:O101" si="65">IFERROR(G117/G25,0)</f>
        <v>0</v>
      </c>
      <c r="H101" s="5">
        <f t="shared" si="65"/>
        <v>0</v>
      </c>
      <c r="I101" s="5">
        <f t="shared" si="65"/>
        <v>0</v>
      </c>
      <c r="J101" s="5">
        <f t="shared" si="65"/>
        <v>0</v>
      </c>
      <c r="K101" s="5">
        <f t="shared" si="65"/>
        <v>0</v>
      </c>
      <c r="L101" s="5">
        <f t="shared" si="65"/>
        <v>0</v>
      </c>
      <c r="M101" s="5">
        <f t="shared" si="65"/>
        <v>0</v>
      </c>
      <c r="N101" s="5">
        <f t="shared" si="65"/>
        <v>0</v>
      </c>
      <c r="O101" s="5">
        <f t="shared" si="65"/>
        <v>0</v>
      </c>
      <c r="P101" s="173"/>
    </row>
    <row r="102" spans="1:16" x14ac:dyDescent="0.25">
      <c r="A102" s="49" t="s">
        <v>538</v>
      </c>
      <c r="B102" s="185" t="s">
        <v>31</v>
      </c>
      <c r="C102" s="55" t="s">
        <v>12</v>
      </c>
      <c r="D102" s="175" t="s">
        <v>123</v>
      </c>
      <c r="E102" s="5">
        <f>IFERROR(E118/E25,0)</f>
        <v>0</v>
      </c>
      <c r="F102" s="5">
        <f>IF('Input Técnico'!$D$102="Valor proposto pelo município",Auxilar!G30,IF('Input Técnico'!$D$102="Valor de referência - Cenário moderado",Lista!E29,IF($D$102="Valor de referência - Cenário otimista",Lista!E40,0)))</f>
        <v>0</v>
      </c>
      <c r="G102" s="5">
        <f>IF('Input Técnico'!$D$102="Valor proposto pelo município",Auxilar!H30,IF('Input Técnico'!$D$102="Valor de referência - Cenário moderado",Lista!F29,IF($D$102="Valor de referência - Cenário otimista",Lista!F40,0)))</f>
        <v>0</v>
      </c>
      <c r="H102" s="5">
        <f>IF('Input Técnico'!$D$102="Valor proposto pelo município",Auxilar!I30,IF('Input Técnico'!$D$102="Valor de referência - Cenário moderado",Lista!G29,IF($D$102="Valor de referência - Cenário otimista",Lista!G40,0)))</f>
        <v>0</v>
      </c>
      <c r="I102" s="5">
        <f>IF('Input Técnico'!$D$102="Valor proposto pelo município",Auxilar!J30,IF('Input Técnico'!$D$102="Valor de referência - Cenário moderado",Lista!H29,IF($D$102="Valor de referência - Cenário otimista",Lista!H40,0)))</f>
        <v>0</v>
      </c>
      <c r="J102" s="5">
        <f>IF('Input Técnico'!$D$102="Valor proposto pelo município",Auxilar!K30,IF('Input Técnico'!$D$102="Valor de referência - Cenário moderado",Lista!I29,IF($D$102="Valor de referência - Cenário otimista",Lista!I40,0)))</f>
        <v>0</v>
      </c>
      <c r="K102" s="5">
        <f>IF('Input Técnico'!$D$102="Valor proposto pelo município",Auxilar!L30,IF('Input Técnico'!$D$102="Valor de referência - Cenário moderado",Lista!J29,IF($D$102="Valor de referência - Cenário otimista",Lista!J40,0)))</f>
        <v>0</v>
      </c>
      <c r="L102" s="5">
        <f>IF('Input Técnico'!$D$102="Valor proposto pelo município",Auxilar!M30,IF('Input Técnico'!$D$102="Valor de referência - Cenário moderado",Lista!K29,IF($D$102="Valor de referência - Cenário otimista",Lista!K40,0)))</f>
        <v>0</v>
      </c>
      <c r="M102" s="5">
        <f>IF('Input Técnico'!$D$102="Valor proposto pelo município",Auxilar!N30,IF('Input Técnico'!$D$102="Valor de referência - Cenário moderado",Lista!L29,IF($D$102="Valor de referência - Cenário otimista",Lista!L40,0)))</f>
        <v>0</v>
      </c>
      <c r="N102" s="5">
        <f>IF('Input Técnico'!$D$102="Valor proposto pelo município",Auxilar!O30,IF('Input Técnico'!$D$102="Valor de referência - Cenário moderado",Lista!M29,IF($D$102="Valor de referência - Cenário otimista",Lista!M40,0)))</f>
        <v>0</v>
      </c>
      <c r="O102" s="5">
        <f>IF('Input Técnico'!$D$102="Valor proposto pelo município",Auxilar!P30,IF('Input Técnico'!$D$102="Valor de referência - Cenário moderado",Lista!N29,IF($D$102="Valor de referência - Cenário otimista",Lista!N40,0)))</f>
        <v>0</v>
      </c>
      <c r="P102" s="173"/>
    </row>
    <row r="103" spans="1:16" x14ac:dyDescent="0.25">
      <c r="A103" s="49" t="s">
        <v>539</v>
      </c>
      <c r="B103" s="185" t="s">
        <v>29</v>
      </c>
      <c r="C103" s="55" t="s">
        <v>12</v>
      </c>
      <c r="D103" s="175" t="s">
        <v>123</v>
      </c>
      <c r="E103" s="5">
        <f>IFERROR(E119/E25,0)</f>
        <v>0</v>
      </c>
      <c r="F103" s="5">
        <f>IF('Input Técnico'!$D$103="Valor proposto pelo município",Auxilar!G31,IF('Input Técnico'!$D$103="Valor de referência - Cenário moderado",Lista!E31,IF($D$103="Valor de referência - Cenário otimista",Lista!E42,0)))</f>
        <v>0</v>
      </c>
      <c r="G103" s="5">
        <f>IF('Input Técnico'!$D$103="Valor proposto pelo município",Auxilar!H31,IF('Input Técnico'!$D$103="Valor de referência - Cenário moderado",Lista!F31,IF($D$103="Valor de referência - Cenário otimista",Lista!F42,0)))</f>
        <v>0</v>
      </c>
      <c r="H103" s="5">
        <f>IF('Input Técnico'!$D$103="Valor proposto pelo município",Auxilar!I31,IF('Input Técnico'!$D$103="Valor de referência - Cenário moderado",Lista!G31,IF($D$103="Valor de referência - Cenário otimista",Lista!G42,0)))</f>
        <v>0</v>
      </c>
      <c r="I103" s="5">
        <f>IF('Input Técnico'!$D$103="Valor proposto pelo município",Auxilar!J31,IF('Input Técnico'!$D$103="Valor de referência - Cenário moderado",Lista!H31,IF($D$103="Valor de referência - Cenário otimista",Lista!H42,0)))</f>
        <v>0</v>
      </c>
      <c r="J103" s="5">
        <f>IF('Input Técnico'!$D$103="Valor proposto pelo município",Auxilar!K31,IF('Input Técnico'!$D$103="Valor de referência - Cenário moderado",Lista!I31,IF($D$103="Valor de referência - Cenário otimista",Lista!I42,0)))</f>
        <v>0</v>
      </c>
      <c r="K103" s="5">
        <f>IF('Input Técnico'!$D$103="Valor proposto pelo município",Auxilar!L31,IF('Input Técnico'!$D$103="Valor de referência - Cenário moderado",Lista!J31,IF($D$103="Valor de referência - Cenário otimista",Lista!J42,0)))</f>
        <v>0</v>
      </c>
      <c r="L103" s="5">
        <f>IF('Input Técnico'!$D$103="Valor proposto pelo município",Auxilar!M31,IF('Input Técnico'!$D$103="Valor de referência - Cenário moderado",Lista!K31,IF($D$103="Valor de referência - Cenário otimista",Lista!K42,0)))</f>
        <v>0</v>
      </c>
      <c r="M103" s="5">
        <f>IF('Input Técnico'!$D$103="Valor proposto pelo município",Auxilar!N31,IF('Input Técnico'!$D$103="Valor de referência - Cenário moderado",Lista!L31,IF($D$103="Valor de referência - Cenário otimista",Lista!L42,0)))</f>
        <v>0</v>
      </c>
      <c r="N103" s="5">
        <f>IF('Input Técnico'!$D$103="Valor proposto pelo município",Auxilar!O31,IF('Input Técnico'!$D$103="Valor de referência - Cenário moderado",Lista!M31,IF($D$103="Valor de referência - Cenário otimista",Lista!M42,0)))</f>
        <v>0</v>
      </c>
      <c r="O103" s="5">
        <f>IF('Input Técnico'!$D$103="Valor proposto pelo município",Auxilar!P31,IF('Input Técnico'!$D$103="Valor de referência - Cenário moderado",Lista!N31,IF($D$103="Valor de referência - Cenário otimista",Lista!N42,0)))</f>
        <v>0</v>
      </c>
      <c r="P103" s="173"/>
    </row>
    <row r="104" spans="1:16" x14ac:dyDescent="0.25">
      <c r="A104" s="49" t="s">
        <v>540</v>
      </c>
      <c r="B104" s="185" t="s">
        <v>30</v>
      </c>
      <c r="C104" s="55" t="s">
        <v>12</v>
      </c>
      <c r="D104" s="175" t="s">
        <v>123</v>
      </c>
      <c r="E104" s="5">
        <f>IFERROR(E120/E25,0)</f>
        <v>0</v>
      </c>
      <c r="F104" s="5">
        <f>IF('Input Técnico'!$D$104="Valor proposto pelo município",Auxilar!G32,IF('Input Técnico'!$D$104="Valor de referência - Cenário moderado",Lista!E32,IF($D$104="Valor de referência - Cenário otimista",Lista!E43,0)))</f>
        <v>0</v>
      </c>
      <c r="G104" s="5">
        <f>IF('Input Técnico'!$D$104="Valor proposto pelo município",Auxilar!H32,IF('Input Técnico'!$D$104="Valor de referência - Cenário moderado",Lista!F32,IF($D$104="Valor de referência - Cenário otimista",Lista!F43,0)))</f>
        <v>0</v>
      </c>
      <c r="H104" s="5">
        <f>IF('Input Técnico'!$D$104="Valor proposto pelo município",Auxilar!I32,IF('Input Técnico'!$D$104="Valor de referência - Cenário moderado",Lista!G32,IF($D$104="Valor de referência - Cenário otimista",Lista!G43,0)))</f>
        <v>0</v>
      </c>
      <c r="I104" s="5">
        <f>IF('Input Técnico'!$D$104="Valor proposto pelo município",Auxilar!J32,IF('Input Técnico'!$D$104="Valor de referência - Cenário moderado",Lista!H32,IF($D$104="Valor de referência - Cenário otimista",Lista!H43,0)))</f>
        <v>0</v>
      </c>
      <c r="J104" s="5">
        <f>IF('Input Técnico'!$D$104="Valor proposto pelo município",Auxilar!K32,IF('Input Técnico'!$D$104="Valor de referência - Cenário moderado",Lista!I32,IF($D$104="Valor de referência - Cenário otimista",Lista!I43,0)))</f>
        <v>0</v>
      </c>
      <c r="K104" s="5">
        <f>IF('Input Técnico'!$D$104="Valor proposto pelo município",Auxilar!L32,IF('Input Técnico'!$D$104="Valor de referência - Cenário moderado",Lista!J32,IF($D$104="Valor de referência - Cenário otimista",Lista!J43,0)))</f>
        <v>0</v>
      </c>
      <c r="L104" s="5">
        <f>IF('Input Técnico'!$D$104="Valor proposto pelo município",Auxilar!M32,IF('Input Técnico'!$D$104="Valor de referência - Cenário moderado",Lista!K32,IF($D$104="Valor de referência - Cenário otimista",Lista!K43,0)))</f>
        <v>0</v>
      </c>
      <c r="M104" s="5">
        <f>IF('Input Técnico'!$D$104="Valor proposto pelo município",Auxilar!N32,IF('Input Técnico'!$D$104="Valor de referência - Cenário moderado",Lista!L32,IF($D$104="Valor de referência - Cenário otimista",Lista!L43,0)))</f>
        <v>0</v>
      </c>
      <c r="N104" s="5">
        <f>IF('Input Técnico'!$D$104="Valor proposto pelo município",Auxilar!O32,IF('Input Técnico'!$D$104="Valor de referência - Cenário moderado",Lista!M32,IF($D$104="Valor de referência - Cenário otimista",Lista!M43,0)))</f>
        <v>0</v>
      </c>
      <c r="O104" s="5">
        <f>IF('Input Técnico'!$D$104="Valor proposto pelo município",Auxilar!P32,IF('Input Técnico'!$D$104="Valor de referência - Cenário moderado",Lista!N32,IF($D$104="Valor de referência - Cenário otimista",Lista!N43,0)))</f>
        <v>0</v>
      </c>
      <c r="P104" s="173"/>
    </row>
    <row r="105" spans="1:16" x14ac:dyDescent="0.25">
      <c r="A105" s="49" t="s">
        <v>283</v>
      </c>
      <c r="B105" s="59" t="s">
        <v>64</v>
      </c>
      <c r="C105" s="55" t="s">
        <v>12</v>
      </c>
      <c r="D105" s="55"/>
      <c r="E105" s="5">
        <f>IFERROR((E121/E32),0)</f>
        <v>0</v>
      </c>
      <c r="F105" s="5">
        <f t="shared" ref="F105:O105" si="66">IFERROR((F121/F32),0)</f>
        <v>0</v>
      </c>
      <c r="G105" s="5">
        <f t="shared" si="66"/>
        <v>0</v>
      </c>
      <c r="H105" s="5">
        <f t="shared" si="66"/>
        <v>0</v>
      </c>
      <c r="I105" s="5">
        <f t="shared" si="66"/>
        <v>0</v>
      </c>
      <c r="J105" s="5">
        <f t="shared" si="66"/>
        <v>0</v>
      </c>
      <c r="K105" s="5">
        <f t="shared" si="66"/>
        <v>0</v>
      </c>
      <c r="L105" s="5">
        <f t="shared" si="66"/>
        <v>0</v>
      </c>
      <c r="M105" s="5">
        <f t="shared" si="66"/>
        <v>0</v>
      </c>
      <c r="N105" s="5">
        <f t="shared" si="66"/>
        <v>0</v>
      </c>
      <c r="O105" s="5">
        <f t="shared" si="66"/>
        <v>0</v>
      </c>
      <c r="P105" s="173"/>
    </row>
    <row r="106" spans="1:16" x14ac:dyDescent="0.25">
      <c r="A106" s="49" t="s">
        <v>284</v>
      </c>
      <c r="B106" s="60" t="s">
        <v>455</v>
      </c>
      <c r="C106" s="55"/>
      <c r="D106" s="55"/>
      <c r="E106" s="5">
        <f>IFERROR((E122/E33),0)</f>
        <v>0</v>
      </c>
      <c r="F106" s="5">
        <f t="shared" ref="F106:O106" si="67">IFERROR((F122/F33),0)</f>
        <v>0</v>
      </c>
      <c r="G106" s="5">
        <f t="shared" si="67"/>
        <v>0</v>
      </c>
      <c r="H106" s="5">
        <f t="shared" si="67"/>
        <v>0</v>
      </c>
      <c r="I106" s="5">
        <f t="shared" si="67"/>
        <v>0</v>
      </c>
      <c r="J106" s="5">
        <f t="shared" si="67"/>
        <v>0</v>
      </c>
      <c r="K106" s="5">
        <f t="shared" si="67"/>
        <v>0</v>
      </c>
      <c r="L106" s="5">
        <f t="shared" si="67"/>
        <v>0</v>
      </c>
      <c r="M106" s="5">
        <f t="shared" si="67"/>
        <v>0</v>
      </c>
      <c r="N106" s="5">
        <f t="shared" si="67"/>
        <v>0</v>
      </c>
      <c r="O106" s="5">
        <f t="shared" si="67"/>
        <v>0</v>
      </c>
      <c r="P106" s="173"/>
    </row>
    <row r="107" spans="1:16" x14ac:dyDescent="0.25">
      <c r="A107" s="49" t="s">
        <v>568</v>
      </c>
      <c r="B107" s="185" t="s">
        <v>31</v>
      </c>
      <c r="C107" s="55" t="s">
        <v>12</v>
      </c>
      <c r="D107" s="175" t="s">
        <v>123</v>
      </c>
      <c r="E107" s="5">
        <f>IFERROR(E123/E33,0)</f>
        <v>0</v>
      </c>
      <c r="F107" s="5">
        <f>IF('Input Técnico'!$D$107="Valor proposto pelo município",Auxilar!G35,IF('Input Técnico'!$D$107="Valor de referência - Cenário moderado",Lista!E34,IF($D$107="Valor de referência - Cenário otimista",Lista!E45,0)))</f>
        <v>0</v>
      </c>
      <c r="G107" s="5">
        <f>IF('Input Técnico'!$D$107="Valor proposto pelo município",Auxilar!H35,IF('Input Técnico'!$D$107="Valor de referência - Cenário moderado",Lista!F34,IF($D$107="Valor de referência - Cenário otimista",Lista!F45,0)))</f>
        <v>0</v>
      </c>
      <c r="H107" s="5">
        <f>IF('Input Técnico'!$D$107="Valor proposto pelo município",Auxilar!I35,IF('Input Técnico'!$D$107="Valor de referência - Cenário moderado",Lista!G34,IF($D$107="Valor de referência - Cenário otimista",Lista!G45,0)))</f>
        <v>0</v>
      </c>
      <c r="I107" s="5">
        <f>IF('Input Técnico'!$D$107="Valor proposto pelo município",Auxilar!J35,IF('Input Técnico'!$D$107="Valor de referência - Cenário moderado",Lista!H34,IF($D$107="Valor de referência - Cenário otimista",Lista!H45,0)))</f>
        <v>0</v>
      </c>
      <c r="J107" s="5">
        <f>IF('Input Técnico'!$D$107="Valor proposto pelo município",Auxilar!K35,IF('Input Técnico'!$D$107="Valor de referência - Cenário moderado",Lista!I34,IF($D$107="Valor de referência - Cenário otimista",Lista!I45,0)))</f>
        <v>0</v>
      </c>
      <c r="K107" s="5">
        <f>IF('Input Técnico'!$D$107="Valor proposto pelo município",Auxilar!L35,IF('Input Técnico'!$D$107="Valor de referência - Cenário moderado",Lista!J34,IF($D$107="Valor de referência - Cenário otimista",Lista!J45,0)))</f>
        <v>0</v>
      </c>
      <c r="L107" s="5">
        <f>IF('Input Técnico'!$D$107="Valor proposto pelo município",Auxilar!M35,IF('Input Técnico'!$D$107="Valor de referência - Cenário moderado",Lista!K34,IF($D$107="Valor de referência - Cenário otimista",Lista!K45,0)))</f>
        <v>0</v>
      </c>
      <c r="M107" s="5">
        <f>IF('Input Técnico'!$D$107="Valor proposto pelo município",Auxilar!N35,IF('Input Técnico'!$D$107="Valor de referência - Cenário moderado",Lista!L34,IF($D$107="Valor de referência - Cenário otimista",Lista!L45,0)))</f>
        <v>0</v>
      </c>
      <c r="N107" s="5">
        <f>IF('Input Técnico'!$D$107="Valor proposto pelo município",Auxilar!O35,IF('Input Técnico'!$D$107="Valor de referência - Cenário moderado",Lista!M34,IF($D$107="Valor de referência - Cenário otimista",Lista!M45,0)))</f>
        <v>0</v>
      </c>
      <c r="O107" s="5">
        <f>IF('Input Técnico'!$D$107="Valor proposto pelo município",Auxilar!P35,IF('Input Técnico'!$D$107="Valor de referência - Cenário moderado",Lista!N34,IF($D$107="Valor de referência - Cenário otimista",Lista!N45,0)))</f>
        <v>0</v>
      </c>
      <c r="P107" s="173"/>
    </row>
    <row r="108" spans="1:16" x14ac:dyDescent="0.25">
      <c r="A108" s="49" t="s">
        <v>569</v>
      </c>
      <c r="B108" s="185" t="s">
        <v>29</v>
      </c>
      <c r="C108" s="55" t="s">
        <v>12</v>
      </c>
      <c r="D108" s="175" t="s">
        <v>123</v>
      </c>
      <c r="E108" s="5">
        <f>IFERROR(E124/E33,0)</f>
        <v>0</v>
      </c>
      <c r="F108" s="5">
        <f>IF('Input Técnico'!$D$108="Valor proposto pelo município",Auxilar!G36,IF('Input Técnico'!$D$108="Valor de referência - Cenário moderado",Lista!E35,IF($D$108="Valor de referência - Cenário otimista",Lista!E46,0)))</f>
        <v>0</v>
      </c>
      <c r="G108" s="5">
        <f>IF('Input Técnico'!$D$108="Valor proposto pelo município",Auxilar!H36,IF('Input Técnico'!$D$108="Valor de referência - Cenário moderado",Lista!F35,IF($D$108="Valor de referência - Cenário otimista",Lista!F46,0)))</f>
        <v>0</v>
      </c>
      <c r="H108" s="5">
        <f>IF('Input Técnico'!$D$108="Valor proposto pelo município",Auxilar!I36,IF('Input Técnico'!$D$108="Valor de referência - Cenário moderado",Lista!G35,IF($D$108="Valor de referência - Cenário otimista",Lista!G46,0)))</f>
        <v>0</v>
      </c>
      <c r="I108" s="5">
        <f>IF('Input Técnico'!$D$108="Valor proposto pelo município",Auxilar!J36,IF('Input Técnico'!$D$108="Valor de referência - Cenário moderado",Lista!H35,IF($D$108="Valor de referência - Cenário otimista",Lista!H46,0)))</f>
        <v>0</v>
      </c>
      <c r="J108" s="5">
        <f>IF('Input Técnico'!$D$108="Valor proposto pelo município",Auxilar!K36,IF('Input Técnico'!$D$108="Valor de referência - Cenário moderado",Lista!I35,IF($D$108="Valor de referência - Cenário otimista",Lista!I46,0)))</f>
        <v>0</v>
      </c>
      <c r="K108" s="5">
        <f>IF('Input Técnico'!$D$108="Valor proposto pelo município",Auxilar!L36,IF('Input Técnico'!$D$108="Valor de referência - Cenário moderado",Lista!J35,IF($D$108="Valor de referência - Cenário otimista",Lista!J46,0)))</f>
        <v>0</v>
      </c>
      <c r="L108" s="5">
        <f>IF('Input Técnico'!$D$108="Valor proposto pelo município",Auxilar!M36,IF('Input Técnico'!$D$108="Valor de referência - Cenário moderado",Lista!K35,IF($D$108="Valor de referência - Cenário otimista",Lista!K46,0)))</f>
        <v>0</v>
      </c>
      <c r="M108" s="5">
        <f>IF('Input Técnico'!$D$108="Valor proposto pelo município",Auxilar!N36,IF('Input Técnico'!$D$108="Valor de referência - Cenário moderado",Lista!L35,IF($D$108="Valor de referência - Cenário otimista",Lista!L46,0)))</f>
        <v>0</v>
      </c>
      <c r="N108" s="5">
        <f>IF('Input Técnico'!$D$108="Valor proposto pelo município",Auxilar!O36,IF('Input Técnico'!$D$108="Valor de referência - Cenário moderado",Lista!M35,IF($D$108="Valor de referência - Cenário otimista",Lista!M46,0)))</f>
        <v>0</v>
      </c>
      <c r="O108" s="5">
        <f>IF('Input Técnico'!$D$108="Valor proposto pelo município",Auxilar!P36,IF('Input Técnico'!$D$108="Valor de referência - Cenário moderado",Lista!N35,IF($D$108="Valor de referência - Cenário otimista",Lista!N46,0)))</f>
        <v>0</v>
      </c>
      <c r="P108" s="173"/>
    </row>
    <row r="109" spans="1:16" x14ac:dyDescent="0.25">
      <c r="A109" s="49" t="s">
        <v>570</v>
      </c>
      <c r="B109" s="185" t="s">
        <v>30</v>
      </c>
      <c r="C109" s="55" t="s">
        <v>12</v>
      </c>
      <c r="D109" s="175" t="s">
        <v>123</v>
      </c>
      <c r="E109" s="5">
        <f>IFERROR(E125/E33,0)</f>
        <v>0</v>
      </c>
      <c r="F109" s="5">
        <f>IF('Input Técnico'!$D$109="Valor proposto pelo município",Auxilar!G37,IF('Input Técnico'!$D$109="Valor de referência - Cenário moderado",Lista!E32,IF($D$109="Valor de referência - Cenário otimista",Lista!E43,0)))</f>
        <v>0</v>
      </c>
      <c r="G109" s="5">
        <f>IF('Input Técnico'!$D$109="Valor proposto pelo município",Auxilar!H37,IF('Input Técnico'!$D$109="Valor de referência - Cenário moderado",Lista!F32,IF($D$109="Valor de referência - Cenário otimista",Lista!F43,0)))</f>
        <v>0</v>
      </c>
      <c r="H109" s="5">
        <f>IF('Input Técnico'!$D$109="Valor proposto pelo município",Auxilar!I37,IF('Input Técnico'!$D$109="Valor de referência - Cenário moderado",Lista!G32,IF($D$109="Valor de referência - Cenário otimista",Lista!G43,0)))</f>
        <v>0</v>
      </c>
      <c r="I109" s="5">
        <f>IF('Input Técnico'!$D$109="Valor proposto pelo município",Auxilar!J37,IF('Input Técnico'!$D$109="Valor de referência - Cenário moderado",Lista!H32,IF($D$109="Valor de referência - Cenário otimista",Lista!H43,0)))</f>
        <v>0</v>
      </c>
      <c r="J109" s="5">
        <f>IF('Input Técnico'!$D$109="Valor proposto pelo município",Auxilar!K37,IF('Input Técnico'!$D$109="Valor de referência - Cenário moderado",Lista!I32,IF($D$109="Valor de referência - Cenário otimista",Lista!I43,0)))</f>
        <v>0</v>
      </c>
      <c r="K109" s="5">
        <f>IF('Input Técnico'!$D$109="Valor proposto pelo município",Auxilar!L37,IF('Input Técnico'!$D$109="Valor de referência - Cenário moderado",Lista!J32,IF($D$109="Valor de referência - Cenário otimista",Lista!J43,0)))</f>
        <v>0</v>
      </c>
      <c r="L109" s="5">
        <f>IF('Input Técnico'!$D$109="Valor proposto pelo município",Auxilar!M37,IF('Input Técnico'!$D$109="Valor de referência - Cenário moderado",Lista!K32,IF($D$109="Valor de referência - Cenário otimista",Lista!K43,0)))</f>
        <v>0</v>
      </c>
      <c r="M109" s="5">
        <f>IF('Input Técnico'!$D$109="Valor proposto pelo município",Auxilar!N37,IF('Input Técnico'!$D$109="Valor de referência - Cenário moderado",Lista!L32,IF($D$109="Valor de referência - Cenário otimista",Lista!L43,0)))</f>
        <v>0</v>
      </c>
      <c r="N109" s="5">
        <f>IF('Input Técnico'!$D$109="Valor proposto pelo município",Auxilar!O37,IF('Input Técnico'!$D$109="Valor de referência - Cenário moderado",Lista!M32,IF($D$109="Valor de referência - Cenário otimista",Lista!M43,0)))</f>
        <v>0</v>
      </c>
      <c r="O109" s="5">
        <f>IF('Input Técnico'!$D$109="Valor proposto pelo município",Auxilar!P37,IF('Input Técnico'!$D$109="Valor de referência - Cenário moderado",Lista!N32,IF($D$109="Valor de referência - Cenário otimista",Lista!N43,0)))</f>
        <v>0</v>
      </c>
      <c r="P109" s="173"/>
    </row>
    <row r="110" spans="1:16" ht="15.75" customHeight="1" x14ac:dyDescent="0.25">
      <c r="A110" s="51" t="s">
        <v>89</v>
      </c>
      <c r="B110" s="50" t="s">
        <v>34</v>
      </c>
      <c r="C110" s="50"/>
      <c r="D110" s="50"/>
      <c r="E110" s="50"/>
      <c r="F110" s="50"/>
      <c r="G110" s="50"/>
      <c r="H110" s="50"/>
      <c r="I110" s="50"/>
      <c r="J110" s="50"/>
      <c r="K110" s="50"/>
      <c r="L110" s="50"/>
      <c r="M110" s="50"/>
      <c r="N110" s="50"/>
      <c r="O110" s="50"/>
      <c r="P110" s="51"/>
    </row>
    <row r="111" spans="1:16" x14ac:dyDescent="0.25">
      <c r="A111" s="49" t="s">
        <v>285</v>
      </c>
      <c r="B111" s="52" t="s">
        <v>65</v>
      </c>
      <c r="C111" s="55" t="s">
        <v>13</v>
      </c>
      <c r="D111" s="4"/>
      <c r="E111" s="4">
        <f>IFERROR((E121+E112),0)</f>
        <v>0</v>
      </c>
      <c r="F111" s="4">
        <f t="shared" ref="F111:O111" si="68">IFERROR((F121+F112),0)</f>
        <v>0</v>
      </c>
      <c r="G111" s="4">
        <f t="shared" si="68"/>
        <v>0</v>
      </c>
      <c r="H111" s="4">
        <f t="shared" si="68"/>
        <v>0</v>
      </c>
      <c r="I111" s="4">
        <f t="shared" si="68"/>
        <v>0</v>
      </c>
      <c r="J111" s="4">
        <f t="shared" si="68"/>
        <v>0</v>
      </c>
      <c r="K111" s="4">
        <f t="shared" si="68"/>
        <v>0</v>
      </c>
      <c r="L111" s="4">
        <f t="shared" si="68"/>
        <v>0</v>
      </c>
      <c r="M111" s="4">
        <f t="shared" si="68"/>
        <v>0</v>
      </c>
      <c r="N111" s="4">
        <f t="shared" si="68"/>
        <v>0</v>
      </c>
      <c r="O111" s="4">
        <f t="shared" si="68"/>
        <v>0</v>
      </c>
      <c r="P111" s="173"/>
    </row>
    <row r="112" spans="1:16" x14ac:dyDescent="0.25">
      <c r="A112" s="49" t="s">
        <v>286</v>
      </c>
      <c r="B112" s="59" t="s">
        <v>63</v>
      </c>
      <c r="C112" s="55" t="s">
        <v>13</v>
      </c>
      <c r="D112" s="4"/>
      <c r="E112" s="4">
        <f>IFERROR((E113+E117),0)</f>
        <v>0</v>
      </c>
      <c r="F112" s="4">
        <f t="shared" ref="F112:O112" si="69">IFERROR((F113+F117),0)</f>
        <v>0</v>
      </c>
      <c r="G112" s="4">
        <f t="shared" si="69"/>
        <v>0</v>
      </c>
      <c r="H112" s="4">
        <f t="shared" si="69"/>
        <v>0</v>
      </c>
      <c r="I112" s="4">
        <f t="shared" si="69"/>
        <v>0</v>
      </c>
      <c r="J112" s="4">
        <f t="shared" si="69"/>
        <v>0</v>
      </c>
      <c r="K112" s="4">
        <f t="shared" si="69"/>
        <v>0</v>
      </c>
      <c r="L112" s="4">
        <f t="shared" si="69"/>
        <v>0</v>
      </c>
      <c r="M112" s="4">
        <f t="shared" si="69"/>
        <v>0</v>
      </c>
      <c r="N112" s="4">
        <f t="shared" si="69"/>
        <v>0</v>
      </c>
      <c r="O112" s="4">
        <f t="shared" si="69"/>
        <v>0</v>
      </c>
      <c r="P112" s="173"/>
    </row>
    <row r="113" spans="1:17" x14ac:dyDescent="0.25">
      <c r="A113" s="49" t="s">
        <v>288</v>
      </c>
      <c r="B113" s="60" t="s">
        <v>67</v>
      </c>
      <c r="C113" s="55" t="s">
        <v>13</v>
      </c>
      <c r="D113" s="4"/>
      <c r="E113" s="4">
        <f>IFERROR(SUM(E114:E116),0)</f>
        <v>0</v>
      </c>
      <c r="F113" s="4">
        <f>IFERROR(SUM(F114:F116),0)</f>
        <v>0</v>
      </c>
      <c r="G113" s="4">
        <f t="shared" ref="G113:O113" si="70">IFERROR(SUM(G114:G116),0)</f>
        <v>0</v>
      </c>
      <c r="H113" s="4">
        <f t="shared" si="70"/>
        <v>0</v>
      </c>
      <c r="I113" s="4">
        <f t="shared" si="70"/>
        <v>0</v>
      </c>
      <c r="J113" s="4">
        <f t="shared" si="70"/>
        <v>0</v>
      </c>
      <c r="K113" s="4">
        <f t="shared" si="70"/>
        <v>0</v>
      </c>
      <c r="L113" s="4">
        <f t="shared" si="70"/>
        <v>0</v>
      </c>
      <c r="M113" s="4">
        <f t="shared" si="70"/>
        <v>0</v>
      </c>
      <c r="N113" s="4">
        <f t="shared" si="70"/>
        <v>0</v>
      </c>
      <c r="O113" s="4">
        <f t="shared" si="70"/>
        <v>0</v>
      </c>
      <c r="P113" s="173"/>
    </row>
    <row r="114" spans="1:17" x14ac:dyDescent="0.25">
      <c r="A114" s="49" t="s">
        <v>541</v>
      </c>
      <c r="B114" s="158" t="s">
        <v>31</v>
      </c>
      <c r="C114" s="55" t="s">
        <v>13</v>
      </c>
      <c r="D114" s="4"/>
      <c r="E114" s="174"/>
      <c r="F114" s="4">
        <f>IFERROR((((F22/F4)*F40)*F98),0)</f>
        <v>0</v>
      </c>
      <c r="G114" s="4">
        <f t="shared" ref="G114:O114" si="71">IFERROR((((G22/G4)*G40)*G98),0)</f>
        <v>0</v>
      </c>
      <c r="H114" s="4">
        <f t="shared" si="71"/>
        <v>0</v>
      </c>
      <c r="I114" s="4">
        <f t="shared" si="71"/>
        <v>0</v>
      </c>
      <c r="J114" s="4">
        <f t="shared" si="71"/>
        <v>0</v>
      </c>
      <c r="K114" s="4">
        <f t="shared" si="71"/>
        <v>0</v>
      </c>
      <c r="L114" s="4">
        <f t="shared" si="71"/>
        <v>0</v>
      </c>
      <c r="M114" s="4">
        <f t="shared" si="71"/>
        <v>0</v>
      </c>
      <c r="N114" s="4">
        <f t="shared" si="71"/>
        <v>0</v>
      </c>
      <c r="O114" s="4">
        <f t="shared" si="71"/>
        <v>0</v>
      </c>
      <c r="P114" s="173"/>
    </row>
    <row r="115" spans="1:17" x14ac:dyDescent="0.25">
      <c r="A115" s="49" t="s">
        <v>542</v>
      </c>
      <c r="B115" s="158" t="s">
        <v>29</v>
      </c>
      <c r="C115" s="55" t="s">
        <v>13</v>
      </c>
      <c r="D115" s="4"/>
      <c r="E115" s="174"/>
      <c r="F115" s="4">
        <f t="shared" ref="F115:O115" si="72">IFERROR(((F22/F4)*F41)*F99,0)</f>
        <v>0</v>
      </c>
      <c r="G115" s="4">
        <f t="shared" si="72"/>
        <v>0</v>
      </c>
      <c r="H115" s="4">
        <f t="shared" si="72"/>
        <v>0</v>
      </c>
      <c r="I115" s="4">
        <f t="shared" si="72"/>
        <v>0</v>
      </c>
      <c r="J115" s="4">
        <f t="shared" si="72"/>
        <v>0</v>
      </c>
      <c r="K115" s="4">
        <f t="shared" si="72"/>
        <v>0</v>
      </c>
      <c r="L115" s="4">
        <f t="shared" si="72"/>
        <v>0</v>
      </c>
      <c r="M115" s="4">
        <f t="shared" si="72"/>
        <v>0</v>
      </c>
      <c r="N115" s="4">
        <f t="shared" si="72"/>
        <v>0</v>
      </c>
      <c r="O115" s="4">
        <f t="shared" si="72"/>
        <v>0</v>
      </c>
      <c r="P115" s="173"/>
    </row>
    <row r="116" spans="1:17" x14ac:dyDescent="0.25">
      <c r="A116" s="49" t="s">
        <v>543</v>
      </c>
      <c r="B116" s="158" t="s">
        <v>30</v>
      </c>
      <c r="C116" s="55" t="s">
        <v>13</v>
      </c>
      <c r="D116" s="4"/>
      <c r="E116" s="174"/>
      <c r="F116" s="4">
        <f t="shared" ref="F116:O116" si="73">IFERROR(((F22/F4)*F42)*F100,0)</f>
        <v>0</v>
      </c>
      <c r="G116" s="4">
        <f t="shared" si="73"/>
        <v>0</v>
      </c>
      <c r="H116" s="4">
        <f t="shared" si="73"/>
        <v>0</v>
      </c>
      <c r="I116" s="4">
        <f t="shared" si="73"/>
        <v>0</v>
      </c>
      <c r="J116" s="4">
        <f t="shared" si="73"/>
        <v>0</v>
      </c>
      <c r="K116" s="4">
        <f t="shared" si="73"/>
        <v>0</v>
      </c>
      <c r="L116" s="4">
        <f t="shared" si="73"/>
        <v>0</v>
      </c>
      <c r="M116" s="4">
        <f t="shared" si="73"/>
        <v>0</v>
      </c>
      <c r="N116" s="4">
        <f t="shared" si="73"/>
        <v>0</v>
      </c>
      <c r="O116" s="4">
        <f t="shared" si="73"/>
        <v>0</v>
      </c>
      <c r="P116" s="173"/>
    </row>
    <row r="117" spans="1:17" x14ac:dyDescent="0.25">
      <c r="A117" s="49" t="s">
        <v>289</v>
      </c>
      <c r="B117" s="60" t="s">
        <v>68</v>
      </c>
      <c r="C117" s="55" t="s">
        <v>13</v>
      </c>
      <c r="D117" s="4"/>
      <c r="E117" s="4">
        <f>IFERROR(SUM(E118:E120),0)</f>
        <v>0</v>
      </c>
      <c r="F117" s="4">
        <f>IFERROR(SUM(F118:F120),0)</f>
        <v>0</v>
      </c>
      <c r="G117" s="4">
        <f t="shared" ref="G117:O117" si="74">IFERROR(SUM(G118:G120),0)</f>
        <v>0</v>
      </c>
      <c r="H117" s="4">
        <f t="shared" si="74"/>
        <v>0</v>
      </c>
      <c r="I117" s="4">
        <f t="shared" si="74"/>
        <v>0</v>
      </c>
      <c r="J117" s="4">
        <f t="shared" si="74"/>
        <v>0</v>
      </c>
      <c r="K117" s="4">
        <f t="shared" si="74"/>
        <v>0</v>
      </c>
      <c r="L117" s="4">
        <f t="shared" si="74"/>
        <v>0</v>
      </c>
      <c r="M117" s="4">
        <f t="shared" si="74"/>
        <v>0</v>
      </c>
      <c r="N117" s="4">
        <f t="shared" si="74"/>
        <v>0</v>
      </c>
      <c r="O117" s="4">
        <f t="shared" si="74"/>
        <v>0</v>
      </c>
      <c r="P117" s="173"/>
    </row>
    <row r="118" spans="1:17" x14ac:dyDescent="0.25">
      <c r="A118" s="49" t="s">
        <v>544</v>
      </c>
      <c r="B118" s="158" t="s">
        <v>31</v>
      </c>
      <c r="C118" s="55" t="s">
        <v>13</v>
      </c>
      <c r="D118" s="4"/>
      <c r="E118" s="174"/>
      <c r="F118" s="4">
        <f>((IFERROR((((F26/F11)*F77)*F102),0))+(IFERROR((((F29/F12)*F81)*F102),0)))</f>
        <v>0</v>
      </c>
      <c r="G118" s="4">
        <f t="shared" ref="G118:O118" si="75">((IFERROR((((G26/G11)*G77)*G102),0))+(IFERROR((((G29/G12)*G81)*G102),0)))</f>
        <v>0</v>
      </c>
      <c r="H118" s="4">
        <f t="shared" si="75"/>
        <v>0</v>
      </c>
      <c r="I118" s="4">
        <f t="shared" si="75"/>
        <v>0</v>
      </c>
      <c r="J118" s="4">
        <f t="shared" si="75"/>
        <v>0</v>
      </c>
      <c r="K118" s="4">
        <f t="shared" si="75"/>
        <v>0</v>
      </c>
      <c r="L118" s="4">
        <f t="shared" si="75"/>
        <v>0</v>
      </c>
      <c r="M118" s="4">
        <f t="shared" si="75"/>
        <v>0</v>
      </c>
      <c r="N118" s="4">
        <f t="shared" si="75"/>
        <v>0</v>
      </c>
      <c r="O118" s="4">
        <f t="shared" si="75"/>
        <v>0</v>
      </c>
      <c r="P118" s="173"/>
      <c r="Q118" s="107"/>
    </row>
    <row r="119" spans="1:17" x14ac:dyDescent="0.25">
      <c r="A119" s="49" t="s">
        <v>545</v>
      </c>
      <c r="B119" s="158" t="s">
        <v>29</v>
      </c>
      <c r="C119" s="55" t="s">
        <v>13</v>
      </c>
      <c r="D119" s="4"/>
      <c r="E119" s="174"/>
      <c r="F119" s="4">
        <f>((IFERROR((((F26/F11)*F78)*F103),0))+(IFERROR((((F29/F12)*F82)*F103),0)))</f>
        <v>0</v>
      </c>
      <c r="G119" s="4">
        <f t="shared" ref="G119:O119" si="76">((IFERROR((((G26/G11)*G78)*G103),0))+(IFERROR((((G29/G12)*G82)*G103),0)))</f>
        <v>0</v>
      </c>
      <c r="H119" s="4">
        <f t="shared" si="76"/>
        <v>0</v>
      </c>
      <c r="I119" s="4">
        <f t="shared" si="76"/>
        <v>0</v>
      </c>
      <c r="J119" s="4">
        <f t="shared" si="76"/>
        <v>0</v>
      </c>
      <c r="K119" s="4">
        <f t="shared" si="76"/>
        <v>0</v>
      </c>
      <c r="L119" s="4">
        <f t="shared" si="76"/>
        <v>0</v>
      </c>
      <c r="M119" s="4">
        <f t="shared" si="76"/>
        <v>0</v>
      </c>
      <c r="N119" s="4">
        <f t="shared" si="76"/>
        <v>0</v>
      </c>
      <c r="O119" s="4">
        <f t="shared" si="76"/>
        <v>0</v>
      </c>
      <c r="P119" s="173"/>
    </row>
    <row r="120" spans="1:17" x14ac:dyDescent="0.25">
      <c r="A120" s="49" t="s">
        <v>546</v>
      </c>
      <c r="B120" s="158" t="s">
        <v>30</v>
      </c>
      <c r="C120" s="55" t="s">
        <v>13</v>
      </c>
      <c r="D120" s="4"/>
      <c r="E120" s="174"/>
      <c r="F120" s="4">
        <f>((IFERROR((((F26/F11)*F79)*F104),0))+(IFERROR((((F29/F12)*F83)*F104),0)))</f>
        <v>0</v>
      </c>
      <c r="G120" s="4">
        <f t="shared" ref="G120:O120" si="77">((IFERROR((((G26/G11)*G79)*G104),0))+(IFERROR((((G29/G12)*G83)*G104),0)))</f>
        <v>0</v>
      </c>
      <c r="H120" s="4">
        <f t="shared" si="77"/>
        <v>0</v>
      </c>
      <c r="I120" s="4">
        <f t="shared" si="77"/>
        <v>0</v>
      </c>
      <c r="J120" s="4">
        <f t="shared" si="77"/>
        <v>0</v>
      </c>
      <c r="K120" s="4">
        <f t="shared" si="77"/>
        <v>0</v>
      </c>
      <c r="L120" s="4">
        <f t="shared" si="77"/>
        <v>0</v>
      </c>
      <c r="M120" s="4">
        <f t="shared" si="77"/>
        <v>0</v>
      </c>
      <c r="N120" s="4">
        <f t="shared" si="77"/>
        <v>0</v>
      </c>
      <c r="O120" s="4">
        <f t="shared" si="77"/>
        <v>0</v>
      </c>
      <c r="P120" s="173"/>
    </row>
    <row r="121" spans="1:17" x14ac:dyDescent="0.25">
      <c r="A121" s="49" t="s">
        <v>287</v>
      </c>
      <c r="B121" s="54" t="s">
        <v>64</v>
      </c>
      <c r="C121" s="55" t="s">
        <v>13</v>
      </c>
      <c r="D121" s="4"/>
      <c r="E121" s="58">
        <f>IFERROR((E122+E126),0)</f>
        <v>0</v>
      </c>
      <c r="F121" s="58">
        <f t="shared" ref="F121:O121" si="78">IFERROR((F122+F126),0)</f>
        <v>0</v>
      </c>
      <c r="G121" s="58">
        <f t="shared" si="78"/>
        <v>0</v>
      </c>
      <c r="H121" s="58">
        <f t="shared" si="78"/>
        <v>0</v>
      </c>
      <c r="I121" s="58">
        <f t="shared" si="78"/>
        <v>0</v>
      </c>
      <c r="J121" s="58">
        <f t="shared" si="78"/>
        <v>0</v>
      </c>
      <c r="K121" s="58">
        <f t="shared" si="78"/>
        <v>0</v>
      </c>
      <c r="L121" s="58">
        <f t="shared" si="78"/>
        <v>0</v>
      </c>
      <c r="M121" s="58">
        <f t="shared" si="78"/>
        <v>0</v>
      </c>
      <c r="N121" s="58">
        <f t="shared" si="78"/>
        <v>0</v>
      </c>
      <c r="O121" s="58">
        <f t="shared" si="78"/>
        <v>0</v>
      </c>
      <c r="P121" s="173"/>
    </row>
    <row r="122" spans="1:17" x14ac:dyDescent="0.25">
      <c r="A122" s="49" t="s">
        <v>290</v>
      </c>
      <c r="B122" s="60" t="s">
        <v>455</v>
      </c>
      <c r="C122" s="55" t="s">
        <v>13</v>
      </c>
      <c r="D122" s="4"/>
      <c r="E122" s="4">
        <f>IFERROR((E123+E124+E125),0)</f>
        <v>0</v>
      </c>
      <c r="F122" s="58">
        <f t="shared" ref="F122:O122" si="79">IFERROR((F123+F124+F125),0)</f>
        <v>0</v>
      </c>
      <c r="G122" s="58">
        <f t="shared" si="79"/>
        <v>0</v>
      </c>
      <c r="H122" s="58">
        <f t="shared" si="79"/>
        <v>0</v>
      </c>
      <c r="I122" s="58">
        <f t="shared" si="79"/>
        <v>0</v>
      </c>
      <c r="J122" s="58">
        <f t="shared" si="79"/>
        <v>0</v>
      </c>
      <c r="K122" s="58">
        <f t="shared" si="79"/>
        <v>0</v>
      </c>
      <c r="L122" s="58">
        <f t="shared" si="79"/>
        <v>0</v>
      </c>
      <c r="M122" s="58">
        <f t="shared" si="79"/>
        <v>0</v>
      </c>
      <c r="N122" s="58">
        <f t="shared" si="79"/>
        <v>0</v>
      </c>
      <c r="O122" s="58">
        <f t="shared" si="79"/>
        <v>0</v>
      </c>
      <c r="P122" s="173"/>
    </row>
    <row r="123" spans="1:17" x14ac:dyDescent="0.25">
      <c r="A123" s="49" t="s">
        <v>547</v>
      </c>
      <c r="B123" s="158" t="s">
        <v>31</v>
      </c>
      <c r="C123" s="55" t="s">
        <v>13</v>
      </c>
      <c r="D123" s="4"/>
      <c r="E123" s="174"/>
      <c r="F123" s="4">
        <f>IFERROR(((F33/F4)*F44)*F107,0)</f>
        <v>0</v>
      </c>
      <c r="G123" s="4">
        <f t="shared" ref="G123:O123" si="80">IFERROR(((G33/G4)*G44)*G107,0)</f>
        <v>0</v>
      </c>
      <c r="H123" s="4">
        <f t="shared" si="80"/>
        <v>0</v>
      </c>
      <c r="I123" s="4">
        <f t="shared" si="80"/>
        <v>0</v>
      </c>
      <c r="J123" s="4">
        <f t="shared" si="80"/>
        <v>0</v>
      </c>
      <c r="K123" s="4">
        <f t="shared" si="80"/>
        <v>0</v>
      </c>
      <c r="L123" s="4">
        <f t="shared" si="80"/>
        <v>0</v>
      </c>
      <c r="M123" s="4">
        <f t="shared" si="80"/>
        <v>0</v>
      </c>
      <c r="N123" s="4">
        <f t="shared" si="80"/>
        <v>0</v>
      </c>
      <c r="O123" s="4">
        <f t="shared" si="80"/>
        <v>0</v>
      </c>
      <c r="P123" s="173"/>
    </row>
    <row r="124" spans="1:17" x14ac:dyDescent="0.25">
      <c r="A124" s="49" t="s">
        <v>548</v>
      </c>
      <c r="B124" s="158" t="s">
        <v>29</v>
      </c>
      <c r="C124" s="55" t="s">
        <v>13</v>
      </c>
      <c r="D124" s="4"/>
      <c r="E124" s="174"/>
      <c r="F124" s="4">
        <f>IFERROR((((F33/F4)*F45)*F108),0)</f>
        <v>0</v>
      </c>
      <c r="G124" s="4">
        <f t="shared" ref="G124:O124" si="81">IFERROR((((G33/G4)*G45)*G108),0)</f>
        <v>0</v>
      </c>
      <c r="H124" s="4">
        <f t="shared" si="81"/>
        <v>0</v>
      </c>
      <c r="I124" s="4">
        <f t="shared" si="81"/>
        <v>0</v>
      </c>
      <c r="J124" s="4">
        <f t="shared" si="81"/>
        <v>0</v>
      </c>
      <c r="K124" s="4">
        <f t="shared" si="81"/>
        <v>0</v>
      </c>
      <c r="L124" s="4">
        <f t="shared" si="81"/>
        <v>0</v>
      </c>
      <c r="M124" s="4">
        <f t="shared" si="81"/>
        <v>0</v>
      </c>
      <c r="N124" s="4">
        <f t="shared" si="81"/>
        <v>0</v>
      </c>
      <c r="O124" s="4">
        <f t="shared" si="81"/>
        <v>0</v>
      </c>
      <c r="P124" s="173"/>
    </row>
    <row r="125" spans="1:17" x14ac:dyDescent="0.25">
      <c r="A125" s="49" t="s">
        <v>549</v>
      </c>
      <c r="B125" s="158" t="s">
        <v>30</v>
      </c>
      <c r="C125" s="55" t="s">
        <v>13</v>
      </c>
      <c r="D125" s="4"/>
      <c r="E125" s="174"/>
      <c r="F125" s="4">
        <f>IFERROR((((F33/F4)*F46)*F109),0)</f>
        <v>0</v>
      </c>
      <c r="G125" s="4">
        <f t="shared" ref="G125:O125" si="82">IFERROR((((G33/G4)*G46)*G109),0)</f>
        <v>0</v>
      </c>
      <c r="H125" s="4">
        <f t="shared" si="82"/>
        <v>0</v>
      </c>
      <c r="I125" s="4">
        <f t="shared" si="82"/>
        <v>0</v>
      </c>
      <c r="J125" s="4">
        <f t="shared" si="82"/>
        <v>0</v>
      </c>
      <c r="K125" s="4">
        <f t="shared" si="82"/>
        <v>0</v>
      </c>
      <c r="L125" s="4">
        <f t="shared" si="82"/>
        <v>0</v>
      </c>
      <c r="M125" s="4">
        <f t="shared" si="82"/>
        <v>0</v>
      </c>
      <c r="N125" s="4">
        <f t="shared" si="82"/>
        <v>0</v>
      </c>
      <c r="O125" s="4">
        <f t="shared" si="82"/>
        <v>0</v>
      </c>
      <c r="P125" s="173"/>
    </row>
    <row r="126" spans="1:17" x14ac:dyDescent="0.25">
      <c r="A126" s="49" t="s">
        <v>291</v>
      </c>
      <c r="B126" s="60" t="s">
        <v>458</v>
      </c>
      <c r="C126" s="55" t="s">
        <v>13</v>
      </c>
      <c r="D126" s="4"/>
      <c r="E126" s="4">
        <f>E127</f>
        <v>0</v>
      </c>
      <c r="F126" s="58">
        <f t="shared" ref="F126:O126" si="83">F127</f>
        <v>0</v>
      </c>
      <c r="G126" s="58">
        <f t="shared" si="83"/>
        <v>0</v>
      </c>
      <c r="H126" s="58">
        <f t="shared" si="83"/>
        <v>0</v>
      </c>
      <c r="I126" s="58">
        <f t="shared" si="83"/>
        <v>0</v>
      </c>
      <c r="J126" s="58">
        <f t="shared" si="83"/>
        <v>0</v>
      </c>
      <c r="K126" s="58">
        <f t="shared" si="83"/>
        <v>0</v>
      </c>
      <c r="L126" s="58">
        <f t="shared" si="83"/>
        <v>0</v>
      </c>
      <c r="M126" s="58">
        <f t="shared" si="83"/>
        <v>0</v>
      </c>
      <c r="N126" s="58">
        <f t="shared" si="83"/>
        <v>0</v>
      </c>
      <c r="O126" s="58">
        <f t="shared" si="83"/>
        <v>0</v>
      </c>
      <c r="P126" s="173"/>
    </row>
    <row r="127" spans="1:17" x14ac:dyDescent="0.25">
      <c r="A127" s="49" t="s">
        <v>550</v>
      </c>
      <c r="B127" s="185" t="s">
        <v>458</v>
      </c>
      <c r="C127" s="55" t="s">
        <v>13</v>
      </c>
      <c r="D127" s="247" t="s">
        <v>596</v>
      </c>
      <c r="E127" s="174"/>
      <c r="F127" s="4">
        <f>IFERROR(IF(ISBLANK(Auxilar!G39),0,((E127*Auxilar!G39)+E127)),0)</f>
        <v>0</v>
      </c>
      <c r="G127" s="4">
        <f>IFERROR(IF(ISBLANK(Auxilar!H39),0,((F127*Auxilar!H39)+F127)),0)</f>
        <v>0</v>
      </c>
      <c r="H127" s="4">
        <f>IFERROR(IF(ISBLANK(Auxilar!I39),0,((G127*Auxilar!I39)+G127)),0)</f>
        <v>0</v>
      </c>
      <c r="I127" s="4">
        <f>IFERROR(IF(ISBLANK(Auxilar!J39),0,((H127*Auxilar!J39)+H127)),0)</f>
        <v>0</v>
      </c>
      <c r="J127" s="4">
        <f>IFERROR(IF(ISBLANK(Auxilar!K39),0,((I127*Auxilar!K39)+I127)),0)</f>
        <v>0</v>
      </c>
      <c r="K127" s="4">
        <f>IFERROR(IF(ISBLANK(Auxilar!L39),0,((J127*Auxilar!L39)+J127)),0)</f>
        <v>0</v>
      </c>
      <c r="L127" s="4">
        <f>IFERROR(IF(ISBLANK(Auxilar!M39),0,((K127*Auxilar!M39)+K127)),0)</f>
        <v>0</v>
      </c>
      <c r="M127" s="4">
        <f>IFERROR(IF(ISBLANK(Auxilar!N39),0,((L127*Auxilar!N39)+L127)),0)</f>
        <v>0</v>
      </c>
      <c r="N127" s="4">
        <f>IFERROR(IF(ISBLANK(Auxilar!O39),0,((M127*Auxilar!O39)+M127)),0)</f>
        <v>0</v>
      </c>
      <c r="O127" s="4">
        <f>IFERROR(IF(ISBLANK(Auxilar!P39),0,((N127*Auxilar!P39)+N127)),0)</f>
        <v>0</v>
      </c>
      <c r="P127" s="275"/>
    </row>
    <row r="128" spans="1:17" x14ac:dyDescent="0.25">
      <c r="A128" s="51" t="s">
        <v>90</v>
      </c>
      <c r="B128" s="50" t="s">
        <v>194</v>
      </c>
      <c r="C128" s="50"/>
      <c r="D128" s="50"/>
      <c r="E128" s="50"/>
      <c r="F128" s="50"/>
      <c r="G128" s="50"/>
      <c r="H128" s="50"/>
      <c r="I128" s="50"/>
      <c r="J128" s="50"/>
      <c r="K128" s="50"/>
      <c r="L128" s="50"/>
      <c r="M128" s="50"/>
      <c r="N128" s="50"/>
      <c r="O128" s="50"/>
      <c r="P128" s="51"/>
    </row>
    <row r="129" spans="1:19" x14ac:dyDescent="0.25">
      <c r="A129" s="122" t="s">
        <v>292</v>
      </c>
      <c r="B129" s="157" t="s">
        <v>221</v>
      </c>
      <c r="C129" s="123"/>
      <c r="D129" s="123"/>
      <c r="E129" s="123"/>
      <c r="F129" s="123"/>
      <c r="G129" s="123"/>
      <c r="H129" s="123"/>
      <c r="I129" s="123"/>
      <c r="J129" s="123"/>
      <c r="K129" s="123"/>
      <c r="L129" s="123"/>
      <c r="M129" s="123"/>
      <c r="N129" s="123"/>
      <c r="O129" s="123"/>
      <c r="P129" s="122"/>
    </row>
    <row r="130" spans="1:19" x14ac:dyDescent="0.25">
      <c r="A130" s="49" t="s">
        <v>300</v>
      </c>
      <c r="B130" s="54" t="s">
        <v>17</v>
      </c>
      <c r="C130" s="53"/>
      <c r="D130" s="53"/>
      <c r="E130" s="53"/>
      <c r="F130" s="53"/>
      <c r="G130" s="53"/>
      <c r="H130" s="53"/>
      <c r="I130" s="53"/>
      <c r="J130" s="53"/>
      <c r="K130" s="53"/>
      <c r="L130" s="53"/>
      <c r="M130" s="53"/>
      <c r="N130" s="53"/>
      <c r="O130" s="53"/>
      <c r="P130" s="173"/>
    </row>
    <row r="131" spans="1:19" x14ac:dyDescent="0.25">
      <c r="A131" s="49" t="s">
        <v>301</v>
      </c>
      <c r="B131" s="57" t="s">
        <v>15</v>
      </c>
      <c r="C131" s="55" t="s">
        <v>127</v>
      </c>
      <c r="D131" s="369" t="s">
        <v>124</v>
      </c>
      <c r="E131" s="174"/>
      <c r="F131" s="4">
        <f>E131</f>
        <v>0</v>
      </c>
      <c r="G131" s="4">
        <f>F131</f>
        <v>0</v>
      </c>
      <c r="H131" s="4">
        <f t="shared" ref="H131:O131" si="84">G131</f>
        <v>0</v>
      </c>
      <c r="I131" s="4">
        <f t="shared" si="84"/>
        <v>0</v>
      </c>
      <c r="J131" s="4">
        <f t="shared" si="84"/>
        <v>0</v>
      </c>
      <c r="K131" s="4">
        <f t="shared" si="84"/>
        <v>0</v>
      </c>
      <c r="L131" s="4">
        <f t="shared" si="84"/>
        <v>0</v>
      </c>
      <c r="M131" s="4">
        <f t="shared" si="84"/>
        <v>0</v>
      </c>
      <c r="N131" s="4">
        <f t="shared" si="84"/>
        <v>0</v>
      </c>
      <c r="O131" s="4">
        <f t="shared" si="84"/>
        <v>0</v>
      </c>
      <c r="P131" s="173"/>
    </row>
    <row r="132" spans="1:19" x14ac:dyDescent="0.25">
      <c r="A132" s="49" t="s">
        <v>302</v>
      </c>
      <c r="B132" s="57" t="s">
        <v>42</v>
      </c>
      <c r="C132" s="55" t="s">
        <v>14</v>
      </c>
      <c r="D132" s="369"/>
      <c r="E132" s="53"/>
      <c r="F132" s="174"/>
      <c r="G132" s="174"/>
      <c r="H132" s="174"/>
      <c r="I132" s="174"/>
      <c r="J132" s="174"/>
      <c r="K132" s="174"/>
      <c r="L132" s="174"/>
      <c r="M132" s="174"/>
      <c r="N132" s="174"/>
      <c r="O132" s="174"/>
      <c r="P132" s="173"/>
    </row>
    <row r="133" spans="1:19" x14ac:dyDescent="0.25">
      <c r="A133" s="49" t="s">
        <v>303</v>
      </c>
      <c r="B133" s="57" t="s">
        <v>41</v>
      </c>
      <c r="C133" s="55" t="s">
        <v>14</v>
      </c>
      <c r="D133" s="369"/>
      <c r="E133" s="174"/>
      <c r="F133" s="174"/>
      <c r="G133" s="174"/>
      <c r="H133" s="174"/>
      <c r="I133" s="174"/>
      <c r="J133" s="174"/>
      <c r="K133" s="174"/>
      <c r="L133" s="174"/>
      <c r="M133" s="174"/>
      <c r="N133" s="174"/>
      <c r="O133" s="174"/>
      <c r="P133" s="173"/>
      <c r="Q133" s="107"/>
    </row>
    <row r="134" spans="1:19" x14ac:dyDescent="0.25">
      <c r="A134" s="49" t="s">
        <v>304</v>
      </c>
      <c r="B134" s="54" t="s">
        <v>18</v>
      </c>
      <c r="C134" s="53"/>
      <c r="D134" s="53"/>
      <c r="E134" s="53"/>
      <c r="F134" s="53"/>
      <c r="G134" s="53"/>
      <c r="H134" s="53"/>
      <c r="I134" s="53"/>
      <c r="J134" s="53"/>
      <c r="K134" s="53"/>
      <c r="L134" s="53"/>
      <c r="M134" s="53"/>
      <c r="N134" s="53"/>
      <c r="O134" s="53"/>
      <c r="P134" s="173"/>
    </row>
    <row r="135" spans="1:19" x14ac:dyDescent="0.25">
      <c r="A135" s="49" t="s">
        <v>308</v>
      </c>
      <c r="B135" s="57" t="s">
        <v>15</v>
      </c>
      <c r="C135" s="55" t="s">
        <v>127</v>
      </c>
      <c r="D135" s="369" t="s">
        <v>124</v>
      </c>
      <c r="E135" s="174"/>
      <c r="F135" s="4">
        <f>E135</f>
        <v>0</v>
      </c>
      <c r="G135" s="4">
        <f>F135</f>
        <v>0</v>
      </c>
      <c r="H135" s="4">
        <f t="shared" ref="H135:O135" si="85">G135</f>
        <v>0</v>
      </c>
      <c r="I135" s="4">
        <f t="shared" si="85"/>
        <v>0</v>
      </c>
      <c r="J135" s="4">
        <f t="shared" si="85"/>
        <v>0</v>
      </c>
      <c r="K135" s="4">
        <f t="shared" si="85"/>
        <v>0</v>
      </c>
      <c r="L135" s="4">
        <f t="shared" si="85"/>
        <v>0</v>
      </c>
      <c r="M135" s="4">
        <f t="shared" si="85"/>
        <v>0</v>
      </c>
      <c r="N135" s="4">
        <f t="shared" si="85"/>
        <v>0</v>
      </c>
      <c r="O135" s="4">
        <f t="shared" si="85"/>
        <v>0</v>
      </c>
      <c r="P135" s="173"/>
    </row>
    <row r="136" spans="1:19" x14ac:dyDescent="0.25">
      <c r="A136" s="49" t="s">
        <v>309</v>
      </c>
      <c r="B136" s="57" t="s">
        <v>42</v>
      </c>
      <c r="C136" s="55" t="s">
        <v>14</v>
      </c>
      <c r="D136" s="369"/>
      <c r="E136" s="53"/>
      <c r="F136" s="174"/>
      <c r="G136" s="174"/>
      <c r="H136" s="174"/>
      <c r="I136" s="174"/>
      <c r="J136" s="174"/>
      <c r="K136" s="174"/>
      <c r="L136" s="174"/>
      <c r="M136" s="174"/>
      <c r="N136" s="174"/>
      <c r="O136" s="174"/>
      <c r="P136" s="173"/>
      <c r="S136" s="103"/>
    </row>
    <row r="137" spans="1:19" x14ac:dyDescent="0.25">
      <c r="A137" s="49" t="s">
        <v>310</v>
      </c>
      <c r="B137" s="57" t="s">
        <v>41</v>
      </c>
      <c r="C137" s="55" t="s">
        <v>14</v>
      </c>
      <c r="D137" s="369"/>
      <c r="E137" s="174"/>
      <c r="F137" s="174"/>
      <c r="G137" s="174"/>
      <c r="H137" s="174"/>
      <c r="I137" s="174"/>
      <c r="J137" s="174"/>
      <c r="K137" s="174"/>
      <c r="L137" s="174"/>
      <c r="M137" s="174"/>
      <c r="N137" s="174"/>
      <c r="O137" s="174"/>
      <c r="P137" s="173"/>
      <c r="S137" s="103"/>
    </row>
    <row r="138" spans="1:19" x14ac:dyDescent="0.25">
      <c r="A138" s="49" t="s">
        <v>305</v>
      </c>
      <c r="B138" s="54" t="s">
        <v>19</v>
      </c>
      <c r="C138" s="53"/>
      <c r="D138" s="53"/>
      <c r="E138" s="53"/>
      <c r="F138" s="53"/>
      <c r="G138" s="53"/>
      <c r="H138" s="53"/>
      <c r="I138" s="53"/>
      <c r="J138" s="53"/>
      <c r="K138" s="53"/>
      <c r="L138" s="53"/>
      <c r="M138" s="53"/>
      <c r="N138" s="53"/>
      <c r="O138" s="53"/>
      <c r="P138" s="173"/>
      <c r="S138" s="103"/>
    </row>
    <row r="139" spans="1:19" x14ac:dyDescent="0.25">
      <c r="A139" s="49" t="s">
        <v>311</v>
      </c>
      <c r="B139" s="57" t="s">
        <v>15</v>
      </c>
      <c r="C139" s="55" t="s">
        <v>127</v>
      </c>
      <c r="D139" s="369" t="s">
        <v>124</v>
      </c>
      <c r="E139" s="174"/>
      <c r="F139" s="4">
        <f>E139</f>
        <v>0</v>
      </c>
      <c r="G139" s="4">
        <f>F139</f>
        <v>0</v>
      </c>
      <c r="H139" s="4">
        <f t="shared" ref="H139:O139" si="86">G139</f>
        <v>0</v>
      </c>
      <c r="I139" s="4">
        <f t="shared" si="86"/>
        <v>0</v>
      </c>
      <c r="J139" s="4">
        <f t="shared" si="86"/>
        <v>0</v>
      </c>
      <c r="K139" s="4">
        <f t="shared" si="86"/>
        <v>0</v>
      </c>
      <c r="L139" s="4">
        <f t="shared" si="86"/>
        <v>0</v>
      </c>
      <c r="M139" s="4">
        <f t="shared" si="86"/>
        <v>0</v>
      </c>
      <c r="N139" s="4">
        <f t="shared" si="86"/>
        <v>0</v>
      </c>
      <c r="O139" s="4">
        <f t="shared" si="86"/>
        <v>0</v>
      </c>
      <c r="P139" s="173"/>
      <c r="S139" s="103"/>
    </row>
    <row r="140" spans="1:19" x14ac:dyDescent="0.25">
      <c r="A140" s="49" t="s">
        <v>312</v>
      </c>
      <c r="B140" s="57" t="s">
        <v>42</v>
      </c>
      <c r="C140" s="55" t="s">
        <v>14</v>
      </c>
      <c r="D140" s="369"/>
      <c r="E140" s="53"/>
      <c r="F140" s="174"/>
      <c r="G140" s="174"/>
      <c r="H140" s="174"/>
      <c r="I140" s="174"/>
      <c r="J140" s="174"/>
      <c r="K140" s="174"/>
      <c r="L140" s="174"/>
      <c r="M140" s="174"/>
      <c r="N140" s="174"/>
      <c r="O140" s="174"/>
      <c r="P140" s="173"/>
    </row>
    <row r="141" spans="1:19" x14ac:dyDescent="0.25">
      <c r="A141" s="49" t="s">
        <v>313</v>
      </c>
      <c r="B141" s="57" t="s">
        <v>41</v>
      </c>
      <c r="C141" s="55" t="s">
        <v>14</v>
      </c>
      <c r="D141" s="369"/>
      <c r="E141" s="174"/>
      <c r="F141" s="174"/>
      <c r="G141" s="174"/>
      <c r="H141" s="174"/>
      <c r="I141" s="174"/>
      <c r="J141" s="174"/>
      <c r="K141" s="174"/>
      <c r="L141" s="174"/>
      <c r="M141" s="174"/>
      <c r="N141" s="174"/>
      <c r="O141" s="174"/>
      <c r="P141" s="173"/>
    </row>
    <row r="142" spans="1:19" x14ac:dyDescent="0.25">
      <c r="A142" s="49" t="s">
        <v>306</v>
      </c>
      <c r="B142" s="54" t="s">
        <v>20</v>
      </c>
      <c r="C142" s="53"/>
      <c r="D142" s="53"/>
      <c r="E142" s="53"/>
      <c r="F142" s="53"/>
      <c r="G142" s="53"/>
      <c r="H142" s="53"/>
      <c r="I142" s="53"/>
      <c r="J142" s="53"/>
      <c r="K142" s="53"/>
      <c r="L142" s="53"/>
      <c r="M142" s="53"/>
      <c r="N142" s="53"/>
      <c r="O142" s="53"/>
      <c r="P142" s="173"/>
    </row>
    <row r="143" spans="1:19" x14ac:dyDescent="0.25">
      <c r="A143" s="49" t="s">
        <v>314</v>
      </c>
      <c r="B143" s="158" t="s">
        <v>15</v>
      </c>
      <c r="C143" s="55" t="s">
        <v>127</v>
      </c>
      <c r="D143" s="369" t="s">
        <v>124</v>
      </c>
      <c r="E143" s="174"/>
      <c r="F143" s="4">
        <f>E143</f>
        <v>0</v>
      </c>
      <c r="G143" s="4">
        <f>F143</f>
        <v>0</v>
      </c>
      <c r="H143" s="4">
        <f t="shared" ref="H143:O143" si="87">G143</f>
        <v>0</v>
      </c>
      <c r="I143" s="4">
        <f t="shared" si="87"/>
        <v>0</v>
      </c>
      <c r="J143" s="4">
        <f t="shared" si="87"/>
        <v>0</v>
      </c>
      <c r="K143" s="4">
        <f t="shared" si="87"/>
        <v>0</v>
      </c>
      <c r="L143" s="4">
        <f t="shared" si="87"/>
        <v>0</v>
      </c>
      <c r="M143" s="4">
        <f t="shared" si="87"/>
        <v>0</v>
      </c>
      <c r="N143" s="4">
        <f t="shared" si="87"/>
        <v>0</v>
      </c>
      <c r="O143" s="4">
        <f t="shared" si="87"/>
        <v>0</v>
      </c>
      <c r="P143" s="173"/>
    </row>
    <row r="144" spans="1:19" x14ac:dyDescent="0.25">
      <c r="A144" s="49" t="s">
        <v>315</v>
      </c>
      <c r="B144" s="57" t="s">
        <v>42</v>
      </c>
      <c r="C144" s="55" t="s">
        <v>14</v>
      </c>
      <c r="D144" s="369"/>
      <c r="E144" s="53"/>
      <c r="F144" s="174"/>
      <c r="G144" s="174"/>
      <c r="H144" s="174"/>
      <c r="I144" s="174"/>
      <c r="J144" s="174"/>
      <c r="K144" s="174"/>
      <c r="L144" s="174"/>
      <c r="M144" s="174"/>
      <c r="N144" s="174"/>
      <c r="O144" s="174"/>
      <c r="P144" s="173"/>
    </row>
    <row r="145" spans="1:16" x14ac:dyDescent="0.25">
      <c r="A145" s="49" t="s">
        <v>316</v>
      </c>
      <c r="B145" s="57" t="s">
        <v>41</v>
      </c>
      <c r="C145" s="55" t="s">
        <v>14</v>
      </c>
      <c r="D145" s="369"/>
      <c r="E145" s="174"/>
      <c r="F145" s="174"/>
      <c r="G145" s="174"/>
      <c r="H145" s="174"/>
      <c r="I145" s="174"/>
      <c r="J145" s="174"/>
      <c r="K145" s="174"/>
      <c r="L145" s="174"/>
      <c r="M145" s="174"/>
      <c r="N145" s="174"/>
      <c r="O145" s="174"/>
      <c r="P145" s="173"/>
    </row>
    <row r="146" spans="1:16" x14ac:dyDescent="0.25">
      <c r="A146" s="49" t="s">
        <v>307</v>
      </c>
      <c r="B146" s="54" t="s">
        <v>21</v>
      </c>
      <c r="C146" s="53"/>
      <c r="D146" s="53"/>
      <c r="E146" s="53"/>
      <c r="F146" s="53"/>
      <c r="G146" s="53"/>
      <c r="H146" s="53"/>
      <c r="I146" s="53"/>
      <c r="J146" s="53"/>
      <c r="K146" s="53"/>
      <c r="L146" s="53"/>
      <c r="M146" s="53"/>
      <c r="N146" s="53"/>
      <c r="O146" s="53"/>
      <c r="P146" s="173"/>
    </row>
    <row r="147" spans="1:16" x14ac:dyDescent="0.25">
      <c r="A147" s="49" t="s">
        <v>317</v>
      </c>
      <c r="B147" s="57" t="s">
        <v>15</v>
      </c>
      <c r="C147" s="55" t="s">
        <v>127</v>
      </c>
      <c r="D147" s="369" t="s">
        <v>124</v>
      </c>
      <c r="E147" s="174"/>
      <c r="F147" s="4">
        <f>E147</f>
        <v>0</v>
      </c>
      <c r="G147" s="4">
        <f>F147</f>
        <v>0</v>
      </c>
      <c r="H147" s="4">
        <f t="shared" ref="H147:O147" si="88">G147</f>
        <v>0</v>
      </c>
      <c r="I147" s="4">
        <f t="shared" si="88"/>
        <v>0</v>
      </c>
      <c r="J147" s="4">
        <f t="shared" si="88"/>
        <v>0</v>
      </c>
      <c r="K147" s="4">
        <f t="shared" si="88"/>
        <v>0</v>
      </c>
      <c r="L147" s="4">
        <f t="shared" si="88"/>
        <v>0</v>
      </c>
      <c r="M147" s="4">
        <f t="shared" si="88"/>
        <v>0</v>
      </c>
      <c r="N147" s="4">
        <f t="shared" si="88"/>
        <v>0</v>
      </c>
      <c r="O147" s="4">
        <f t="shared" si="88"/>
        <v>0</v>
      </c>
      <c r="P147" s="173"/>
    </row>
    <row r="148" spans="1:16" x14ac:dyDescent="0.25">
      <c r="A148" s="49" t="s">
        <v>318</v>
      </c>
      <c r="B148" s="57" t="s">
        <v>42</v>
      </c>
      <c r="C148" s="55" t="s">
        <v>14</v>
      </c>
      <c r="D148" s="369"/>
      <c r="E148" s="53"/>
      <c r="F148" s="174"/>
      <c r="G148" s="174"/>
      <c r="H148" s="174"/>
      <c r="I148" s="174"/>
      <c r="J148" s="174"/>
      <c r="K148" s="174"/>
      <c r="L148" s="174"/>
      <c r="M148" s="174"/>
      <c r="N148" s="174"/>
      <c r="O148" s="174"/>
      <c r="P148" s="173"/>
    </row>
    <row r="149" spans="1:16" x14ac:dyDescent="0.25">
      <c r="A149" s="49" t="s">
        <v>319</v>
      </c>
      <c r="B149" s="57" t="s">
        <v>41</v>
      </c>
      <c r="C149" s="55" t="s">
        <v>14</v>
      </c>
      <c r="D149" s="369"/>
      <c r="E149" s="174"/>
      <c r="F149" s="174"/>
      <c r="G149" s="174"/>
      <c r="H149" s="174"/>
      <c r="I149" s="174"/>
      <c r="J149" s="174"/>
      <c r="K149" s="174"/>
      <c r="L149" s="174"/>
      <c r="M149" s="174"/>
      <c r="N149" s="174"/>
      <c r="O149" s="174"/>
      <c r="P149" s="173"/>
    </row>
    <row r="150" spans="1:16" x14ac:dyDescent="0.25">
      <c r="A150" s="49" t="s">
        <v>480</v>
      </c>
      <c r="B150" s="54" t="s">
        <v>445</v>
      </c>
      <c r="C150" s="53"/>
      <c r="D150" s="53"/>
      <c r="E150" s="53"/>
      <c r="F150" s="53"/>
      <c r="G150" s="53"/>
      <c r="H150" s="53"/>
      <c r="I150" s="53"/>
      <c r="J150" s="53"/>
      <c r="K150" s="53"/>
      <c r="L150" s="53"/>
      <c r="M150" s="53"/>
      <c r="N150" s="53"/>
      <c r="O150" s="53"/>
      <c r="P150" s="173"/>
    </row>
    <row r="151" spans="1:16" x14ac:dyDescent="0.25">
      <c r="A151" s="49" t="s">
        <v>485</v>
      </c>
      <c r="B151" s="57" t="s">
        <v>15</v>
      </c>
      <c r="C151" s="55" t="s">
        <v>127</v>
      </c>
      <c r="D151" s="369" t="s">
        <v>124</v>
      </c>
      <c r="E151" s="174"/>
      <c r="F151" s="4">
        <f>E151</f>
        <v>0</v>
      </c>
      <c r="G151" s="4">
        <f>F151</f>
        <v>0</v>
      </c>
      <c r="H151" s="4">
        <f t="shared" ref="H151:O151" si="89">G151</f>
        <v>0</v>
      </c>
      <c r="I151" s="4">
        <f t="shared" si="89"/>
        <v>0</v>
      </c>
      <c r="J151" s="4">
        <f t="shared" si="89"/>
        <v>0</v>
      </c>
      <c r="K151" s="4">
        <f t="shared" si="89"/>
        <v>0</v>
      </c>
      <c r="L151" s="4">
        <f t="shared" si="89"/>
        <v>0</v>
      </c>
      <c r="M151" s="4">
        <f t="shared" si="89"/>
        <v>0</v>
      </c>
      <c r="N151" s="4">
        <f t="shared" si="89"/>
        <v>0</v>
      </c>
      <c r="O151" s="4">
        <f t="shared" si="89"/>
        <v>0</v>
      </c>
      <c r="P151" s="173"/>
    </row>
    <row r="152" spans="1:16" x14ac:dyDescent="0.25">
      <c r="A152" s="49" t="s">
        <v>486</v>
      </c>
      <c r="B152" s="57" t="s">
        <v>42</v>
      </c>
      <c r="C152" s="55" t="s">
        <v>14</v>
      </c>
      <c r="D152" s="369"/>
      <c r="E152" s="53"/>
      <c r="F152" s="174"/>
      <c r="G152" s="174"/>
      <c r="H152" s="174"/>
      <c r="I152" s="174"/>
      <c r="J152" s="174"/>
      <c r="K152" s="174"/>
      <c r="L152" s="174"/>
      <c r="M152" s="174"/>
      <c r="N152" s="174"/>
      <c r="O152" s="174"/>
      <c r="P152" s="173"/>
    </row>
    <row r="153" spans="1:16" x14ac:dyDescent="0.25">
      <c r="A153" s="49" t="s">
        <v>487</v>
      </c>
      <c r="B153" s="57" t="s">
        <v>41</v>
      </c>
      <c r="C153" s="55" t="s">
        <v>14</v>
      </c>
      <c r="D153" s="369"/>
      <c r="E153" s="174"/>
      <c r="F153" s="174"/>
      <c r="G153" s="174"/>
      <c r="H153" s="174"/>
      <c r="I153" s="174"/>
      <c r="J153" s="174"/>
      <c r="K153" s="174"/>
      <c r="L153" s="174"/>
      <c r="M153" s="174"/>
      <c r="N153" s="174"/>
      <c r="O153" s="174"/>
      <c r="P153" s="173"/>
    </row>
    <row r="154" spans="1:16" x14ac:dyDescent="0.25">
      <c r="A154" s="49" t="s">
        <v>481</v>
      </c>
      <c r="B154" s="54" t="s">
        <v>446</v>
      </c>
      <c r="C154" s="53"/>
      <c r="D154" s="53"/>
      <c r="E154" s="53"/>
      <c r="F154" s="53"/>
      <c r="G154" s="53"/>
      <c r="H154" s="53"/>
      <c r="I154" s="53"/>
      <c r="J154" s="53"/>
      <c r="K154" s="53"/>
      <c r="L154" s="53"/>
      <c r="M154" s="53"/>
      <c r="N154" s="53"/>
      <c r="O154" s="53"/>
      <c r="P154" s="173"/>
    </row>
    <row r="155" spans="1:16" x14ac:dyDescent="0.25">
      <c r="A155" s="49" t="s">
        <v>488</v>
      </c>
      <c r="B155" s="57" t="s">
        <v>15</v>
      </c>
      <c r="C155" s="55" t="s">
        <v>127</v>
      </c>
      <c r="D155" s="369" t="s">
        <v>124</v>
      </c>
      <c r="E155" s="174"/>
      <c r="F155" s="4">
        <f>E155</f>
        <v>0</v>
      </c>
      <c r="G155" s="4">
        <f>F155</f>
        <v>0</v>
      </c>
      <c r="H155" s="4">
        <f t="shared" ref="H155:O155" si="90">G155</f>
        <v>0</v>
      </c>
      <c r="I155" s="4">
        <f t="shared" si="90"/>
        <v>0</v>
      </c>
      <c r="J155" s="4">
        <f t="shared" si="90"/>
        <v>0</v>
      </c>
      <c r="K155" s="4">
        <f t="shared" si="90"/>
        <v>0</v>
      </c>
      <c r="L155" s="4">
        <f t="shared" si="90"/>
        <v>0</v>
      </c>
      <c r="M155" s="4">
        <f t="shared" si="90"/>
        <v>0</v>
      </c>
      <c r="N155" s="4">
        <f t="shared" si="90"/>
        <v>0</v>
      </c>
      <c r="O155" s="4">
        <f t="shared" si="90"/>
        <v>0</v>
      </c>
      <c r="P155" s="173"/>
    </row>
    <row r="156" spans="1:16" x14ac:dyDescent="0.25">
      <c r="A156" s="49" t="s">
        <v>489</v>
      </c>
      <c r="B156" s="57" t="s">
        <v>42</v>
      </c>
      <c r="C156" s="55" t="s">
        <v>14</v>
      </c>
      <c r="D156" s="369"/>
      <c r="E156" s="53"/>
      <c r="F156" s="174"/>
      <c r="G156" s="174"/>
      <c r="H156" s="174"/>
      <c r="I156" s="174"/>
      <c r="J156" s="174"/>
      <c r="K156" s="174"/>
      <c r="L156" s="174"/>
      <c r="M156" s="174"/>
      <c r="N156" s="174"/>
      <c r="O156" s="174"/>
      <c r="P156" s="173"/>
    </row>
    <row r="157" spans="1:16" x14ac:dyDescent="0.25">
      <c r="A157" s="49" t="s">
        <v>490</v>
      </c>
      <c r="B157" s="57" t="s">
        <v>41</v>
      </c>
      <c r="C157" s="55" t="s">
        <v>14</v>
      </c>
      <c r="D157" s="369"/>
      <c r="E157" s="174"/>
      <c r="F157" s="174"/>
      <c r="G157" s="174"/>
      <c r="H157" s="174"/>
      <c r="I157" s="174"/>
      <c r="J157" s="174"/>
      <c r="K157" s="174"/>
      <c r="L157" s="174"/>
      <c r="M157" s="174"/>
      <c r="N157" s="174"/>
      <c r="O157" s="174"/>
      <c r="P157" s="173"/>
    </row>
    <row r="158" spans="1:16" x14ac:dyDescent="0.25">
      <c r="A158" s="49" t="s">
        <v>482</v>
      </c>
      <c r="B158" s="54" t="s">
        <v>447</v>
      </c>
      <c r="C158" s="53"/>
      <c r="D158" s="53"/>
      <c r="E158" s="53"/>
      <c r="F158" s="53"/>
      <c r="G158" s="53"/>
      <c r="H158" s="53"/>
      <c r="I158" s="53"/>
      <c r="J158" s="53"/>
      <c r="K158" s="53"/>
      <c r="L158" s="53"/>
      <c r="M158" s="53"/>
      <c r="N158" s="53"/>
      <c r="O158" s="53"/>
      <c r="P158" s="173"/>
    </row>
    <row r="159" spans="1:16" x14ac:dyDescent="0.25">
      <c r="A159" s="49" t="s">
        <v>491</v>
      </c>
      <c r="B159" s="57" t="s">
        <v>15</v>
      </c>
      <c r="C159" s="55" t="s">
        <v>127</v>
      </c>
      <c r="D159" s="369" t="s">
        <v>124</v>
      </c>
      <c r="E159" s="174"/>
      <c r="F159" s="4">
        <f>E159</f>
        <v>0</v>
      </c>
      <c r="G159" s="4">
        <f>F159</f>
        <v>0</v>
      </c>
      <c r="H159" s="4">
        <f t="shared" ref="H159:O159" si="91">G159</f>
        <v>0</v>
      </c>
      <c r="I159" s="4">
        <f t="shared" si="91"/>
        <v>0</v>
      </c>
      <c r="J159" s="4">
        <f t="shared" si="91"/>
        <v>0</v>
      </c>
      <c r="K159" s="4">
        <f t="shared" si="91"/>
        <v>0</v>
      </c>
      <c r="L159" s="4">
        <f t="shared" si="91"/>
        <v>0</v>
      </c>
      <c r="M159" s="4">
        <f t="shared" si="91"/>
        <v>0</v>
      </c>
      <c r="N159" s="4">
        <f t="shared" si="91"/>
        <v>0</v>
      </c>
      <c r="O159" s="4">
        <f t="shared" si="91"/>
        <v>0</v>
      </c>
      <c r="P159" s="173"/>
    </row>
    <row r="160" spans="1:16" x14ac:dyDescent="0.25">
      <c r="A160" s="49" t="s">
        <v>492</v>
      </c>
      <c r="B160" s="57" t="s">
        <v>42</v>
      </c>
      <c r="C160" s="55" t="s">
        <v>14</v>
      </c>
      <c r="D160" s="369"/>
      <c r="E160" s="53"/>
      <c r="F160" s="174"/>
      <c r="G160" s="174"/>
      <c r="H160" s="174"/>
      <c r="I160" s="174"/>
      <c r="J160" s="174"/>
      <c r="K160" s="174"/>
      <c r="L160" s="174"/>
      <c r="M160" s="174"/>
      <c r="N160" s="174"/>
      <c r="O160" s="174"/>
      <c r="P160" s="173"/>
    </row>
    <row r="161" spans="1:16" x14ac:dyDescent="0.25">
      <c r="A161" s="49" t="s">
        <v>493</v>
      </c>
      <c r="B161" s="57" t="s">
        <v>41</v>
      </c>
      <c r="C161" s="55" t="s">
        <v>14</v>
      </c>
      <c r="D161" s="369"/>
      <c r="E161" s="174"/>
      <c r="F161" s="174"/>
      <c r="G161" s="174"/>
      <c r="H161" s="174"/>
      <c r="I161" s="174"/>
      <c r="J161" s="174"/>
      <c r="K161" s="174"/>
      <c r="L161" s="174"/>
      <c r="M161" s="174"/>
      <c r="N161" s="174"/>
      <c r="O161" s="174"/>
      <c r="P161" s="173"/>
    </row>
    <row r="162" spans="1:16" x14ac:dyDescent="0.25">
      <c r="A162" s="49" t="s">
        <v>483</v>
      </c>
      <c r="B162" s="54" t="s">
        <v>448</v>
      </c>
      <c r="C162" s="53"/>
      <c r="D162" s="53"/>
      <c r="E162" s="53"/>
      <c r="F162" s="53"/>
      <c r="G162" s="53"/>
      <c r="H162" s="53"/>
      <c r="I162" s="53"/>
      <c r="J162" s="53"/>
      <c r="K162" s="53"/>
      <c r="L162" s="53"/>
      <c r="M162" s="53"/>
      <c r="N162" s="53"/>
      <c r="O162" s="53"/>
      <c r="P162" s="173"/>
    </row>
    <row r="163" spans="1:16" x14ac:dyDescent="0.25">
      <c r="A163" s="49" t="s">
        <v>494</v>
      </c>
      <c r="B163" s="57" t="s">
        <v>15</v>
      </c>
      <c r="C163" s="55" t="s">
        <v>127</v>
      </c>
      <c r="D163" s="369" t="s">
        <v>124</v>
      </c>
      <c r="E163" s="174"/>
      <c r="F163" s="4">
        <f>E163</f>
        <v>0</v>
      </c>
      <c r="G163" s="4">
        <f>F163</f>
        <v>0</v>
      </c>
      <c r="H163" s="4">
        <f t="shared" ref="H163:O163" si="92">G163</f>
        <v>0</v>
      </c>
      <c r="I163" s="4">
        <f t="shared" si="92"/>
        <v>0</v>
      </c>
      <c r="J163" s="4">
        <f t="shared" si="92"/>
        <v>0</v>
      </c>
      <c r="K163" s="4">
        <f t="shared" si="92"/>
        <v>0</v>
      </c>
      <c r="L163" s="4">
        <f t="shared" si="92"/>
        <v>0</v>
      </c>
      <c r="M163" s="4">
        <f t="shared" si="92"/>
        <v>0</v>
      </c>
      <c r="N163" s="4">
        <f t="shared" si="92"/>
        <v>0</v>
      </c>
      <c r="O163" s="4">
        <f t="shared" si="92"/>
        <v>0</v>
      </c>
      <c r="P163" s="173"/>
    </row>
    <row r="164" spans="1:16" x14ac:dyDescent="0.25">
      <c r="A164" s="49" t="s">
        <v>495</v>
      </c>
      <c r="B164" s="57" t="s">
        <v>42</v>
      </c>
      <c r="C164" s="55" t="s">
        <v>14</v>
      </c>
      <c r="D164" s="369"/>
      <c r="E164" s="53"/>
      <c r="F164" s="174"/>
      <c r="G164" s="174"/>
      <c r="H164" s="174"/>
      <c r="I164" s="174"/>
      <c r="J164" s="174"/>
      <c r="K164" s="174"/>
      <c r="L164" s="174"/>
      <c r="M164" s="174"/>
      <c r="N164" s="174"/>
      <c r="O164" s="174"/>
      <c r="P164" s="173"/>
    </row>
    <row r="165" spans="1:16" x14ac:dyDescent="0.25">
      <c r="A165" s="49" t="s">
        <v>496</v>
      </c>
      <c r="B165" s="57" t="s">
        <v>41</v>
      </c>
      <c r="C165" s="55" t="s">
        <v>14</v>
      </c>
      <c r="D165" s="369"/>
      <c r="E165" s="174"/>
      <c r="F165" s="174"/>
      <c r="G165" s="174"/>
      <c r="H165" s="174"/>
      <c r="I165" s="174"/>
      <c r="J165" s="174"/>
      <c r="K165" s="174"/>
      <c r="L165" s="174"/>
      <c r="M165" s="174"/>
      <c r="N165" s="174"/>
      <c r="O165" s="174"/>
      <c r="P165" s="173"/>
    </row>
    <row r="166" spans="1:16" x14ac:dyDescent="0.25">
      <c r="A166" s="49" t="s">
        <v>484</v>
      </c>
      <c r="B166" s="54" t="s">
        <v>449</v>
      </c>
      <c r="C166" s="53"/>
      <c r="D166" s="53"/>
      <c r="E166" s="53"/>
      <c r="F166" s="53"/>
      <c r="G166" s="53"/>
      <c r="H166" s="53"/>
      <c r="I166" s="53"/>
      <c r="J166" s="53"/>
      <c r="K166" s="53"/>
      <c r="L166" s="53"/>
      <c r="M166" s="53"/>
      <c r="N166" s="53"/>
      <c r="O166" s="53"/>
      <c r="P166" s="173"/>
    </row>
    <row r="167" spans="1:16" x14ac:dyDescent="0.25">
      <c r="A167" s="49" t="s">
        <v>497</v>
      </c>
      <c r="B167" s="57" t="s">
        <v>15</v>
      </c>
      <c r="C167" s="55" t="s">
        <v>127</v>
      </c>
      <c r="D167" s="369" t="s">
        <v>124</v>
      </c>
      <c r="E167" s="174"/>
      <c r="F167" s="4">
        <f>E167</f>
        <v>0</v>
      </c>
      <c r="G167" s="4">
        <f>F167</f>
        <v>0</v>
      </c>
      <c r="H167" s="4">
        <f t="shared" ref="H167:O167" si="93">G167</f>
        <v>0</v>
      </c>
      <c r="I167" s="4">
        <f t="shared" si="93"/>
        <v>0</v>
      </c>
      <c r="J167" s="4">
        <f t="shared" si="93"/>
        <v>0</v>
      </c>
      <c r="K167" s="4">
        <f t="shared" si="93"/>
        <v>0</v>
      </c>
      <c r="L167" s="4">
        <f t="shared" si="93"/>
        <v>0</v>
      </c>
      <c r="M167" s="4">
        <f t="shared" si="93"/>
        <v>0</v>
      </c>
      <c r="N167" s="4">
        <f t="shared" si="93"/>
        <v>0</v>
      </c>
      <c r="O167" s="4">
        <f t="shared" si="93"/>
        <v>0</v>
      </c>
      <c r="P167" s="173"/>
    </row>
    <row r="168" spans="1:16" x14ac:dyDescent="0.25">
      <c r="A168" s="49" t="s">
        <v>498</v>
      </c>
      <c r="B168" s="57" t="s">
        <v>42</v>
      </c>
      <c r="C168" s="55" t="s">
        <v>14</v>
      </c>
      <c r="D168" s="369"/>
      <c r="E168" s="53"/>
      <c r="F168" s="174"/>
      <c r="G168" s="174"/>
      <c r="H168" s="174"/>
      <c r="I168" s="174"/>
      <c r="J168" s="174"/>
      <c r="K168" s="174"/>
      <c r="L168" s="174"/>
      <c r="M168" s="174"/>
      <c r="N168" s="174"/>
      <c r="O168" s="174"/>
      <c r="P168" s="173"/>
    </row>
    <row r="169" spans="1:16" x14ac:dyDescent="0.25">
      <c r="A169" s="49" t="s">
        <v>499</v>
      </c>
      <c r="B169" s="57" t="s">
        <v>41</v>
      </c>
      <c r="C169" s="55" t="s">
        <v>14</v>
      </c>
      <c r="D169" s="369"/>
      <c r="E169" s="174"/>
      <c r="F169" s="174"/>
      <c r="G169" s="174"/>
      <c r="H169" s="174"/>
      <c r="I169" s="174"/>
      <c r="J169" s="174"/>
      <c r="K169" s="174"/>
      <c r="L169" s="174"/>
      <c r="M169" s="174"/>
      <c r="N169" s="174"/>
      <c r="O169" s="174"/>
      <c r="P169" s="173"/>
    </row>
    <row r="170" spans="1:16" x14ac:dyDescent="0.25">
      <c r="A170" s="122" t="s">
        <v>293</v>
      </c>
      <c r="B170" s="157" t="s">
        <v>225</v>
      </c>
      <c r="C170" s="123"/>
      <c r="D170" s="123"/>
      <c r="E170" s="123"/>
      <c r="F170" s="123"/>
      <c r="G170" s="123"/>
      <c r="H170" s="123"/>
      <c r="I170" s="123"/>
      <c r="J170" s="123"/>
      <c r="K170" s="123"/>
      <c r="L170" s="123"/>
      <c r="M170" s="123"/>
      <c r="N170" s="123"/>
      <c r="O170" s="123"/>
      <c r="P170" s="122"/>
    </row>
    <row r="171" spans="1:16" x14ac:dyDescent="0.25">
      <c r="A171" s="49" t="s">
        <v>297</v>
      </c>
      <c r="B171" s="59" t="s">
        <v>31</v>
      </c>
      <c r="C171" s="55" t="s">
        <v>127</v>
      </c>
      <c r="D171" s="49"/>
      <c r="E171" s="4">
        <f>IF($D$131="Via pública",E131*E133,0)+IF($D$135="Via pública",E135*E137,0)+IF($D$139="Via pública",E139*E141,0)+IF($D$143="Via pública",E143*E145,0)+IF($D$147="Via pública",E147*E149,0)+IF($D$151="Via pública",E151*E153,0)+IF($D$155="Via pública",E155*E157,0)+IF($D$159="Via pública",E159*E161,0)+IF($D$163="Via pública",E163*E165,0)+IF($D$167="Via pública",E167*E169,0)</f>
        <v>0</v>
      </c>
      <c r="F171" s="4">
        <f>IF($D$131="Via pública",F131*F133,0)+IF($D$135="Via pública",F135*F137,0)+IF($D$139="Via pública",F139*F141,0)+IF($D$143="Via pública",F143*F145,0)+IF($D$147="Via pública",F147*F149,0)+IF($D$151="Via pública",F151*F153,0)+IF($D$155="Via pública",F155*F157,0)+IF($D$159="Via pública",F159*F161,0)+IF($D$163="Via pública",F163*F165,0)+IF($D$167="Via pública",F167*F169,0)</f>
        <v>0</v>
      </c>
      <c r="G171" s="4">
        <f t="shared" ref="G171:N171" si="94">IF($D$131="Via pública",G131*G133,0)+IF($D$135="Via pública",G135*G137,0)+IF($D$139="Via pública",G139*G141,0)+IF($D$143="Via pública",G143*G145,0)+IF($D$147="Via pública",G147*G149,0)+IF($D$151="Via pública",G151*G153,0)+IF($D$155="Via pública",G155*G157,0)+IF($D$159="Via pública",G159*G161,0)+IF($D$163="Via pública",G163*G165,0)+IF($D$167="Via pública",G167*G169,0)</f>
        <v>0</v>
      </c>
      <c r="H171" s="4">
        <f t="shared" si="94"/>
        <v>0</v>
      </c>
      <c r="I171" s="4">
        <f t="shared" si="94"/>
        <v>0</v>
      </c>
      <c r="J171" s="4">
        <f t="shared" si="94"/>
        <v>0</v>
      </c>
      <c r="K171" s="4">
        <f t="shared" si="94"/>
        <v>0</v>
      </c>
      <c r="L171" s="4">
        <f t="shared" si="94"/>
        <v>0</v>
      </c>
      <c r="M171" s="4">
        <f t="shared" si="94"/>
        <v>0</v>
      </c>
      <c r="N171" s="4">
        <f t="shared" si="94"/>
        <v>0</v>
      </c>
      <c r="O171" s="4">
        <f>IF($D$131="Via pública",O131*O133,0)+IF($D$135="Via pública",O135*O137,0)+IF($D$139="Via pública",O139*O141,0)+IF($D$143="Via pública",O143*O145,0)+IF($D$147="Via pública",O147*O149,0)+IF($D$151="Via pública",O151*O153,0)+IF($D$155="Via pública",O155*O157,0)+IF($D$159="Via pública",O159*O161,0)+IF($D$163="Via pública",O163*O165,0)+IF($D$167="Via pública",O167*O169,0)</f>
        <v>0</v>
      </c>
      <c r="P171" s="173"/>
    </row>
    <row r="172" spans="1:16" x14ac:dyDescent="0.25">
      <c r="A172" s="49" t="s">
        <v>298</v>
      </c>
      <c r="B172" s="59" t="s">
        <v>29</v>
      </c>
      <c r="C172" s="55" t="s">
        <v>127</v>
      </c>
      <c r="D172" s="49"/>
      <c r="E172" s="4">
        <f t="shared" ref="E172:O172" si="95">IF($D$131="Porta-a-porta",E131*E133,0)+IF($D$135="Porta-a-porta",E135*E137,0)+IF($D$139="Porta-a-porta",E139*E141,0)+IF($D$143="Porta-a-porta",E143*E145,0)+IF($D$147="Porta-a-porta",E147*E149,0)+IF($D$151="Porta-a-porta",E151*E153,0)+IF($D$155="Porta-a-porta",E155*E157,0)+IF($D$159="Porta-a-porta",E159*E161,0)+IF($D$163="Porta-a-porta",E163*E165,0)+IF($D$167="Porta-a-porta",E167*E169,0)</f>
        <v>0</v>
      </c>
      <c r="F172" s="4">
        <f>IF($D$131="Porta-a-porta",F131*F133,0)+IF($D$135="Porta-a-porta",F135*F137,0)+IF($D$139="Porta-a-porta",F139*F141,0)+IF($D$143="Porta-a-porta",F143*F145,0)+IF($D$147="Porta-a-porta",F147*F149,0)+IF($D$151="Porta-a-porta",F151*F153,0)+IF($D$155="Porta-a-porta",F155*F157,0)+IF($D$159="Porta-a-porta",F159*F161,0)+IF($D$163="Porta-a-porta",F163*F165,0)+IF($D$167="Porta-a-porta",F167*F169,0)</f>
        <v>0</v>
      </c>
      <c r="G172" s="4">
        <f t="shared" si="95"/>
        <v>0</v>
      </c>
      <c r="H172" s="4">
        <f t="shared" si="95"/>
        <v>0</v>
      </c>
      <c r="I172" s="4">
        <f t="shared" si="95"/>
        <v>0</v>
      </c>
      <c r="J172" s="4">
        <f t="shared" si="95"/>
        <v>0</v>
      </c>
      <c r="K172" s="4">
        <f t="shared" si="95"/>
        <v>0</v>
      </c>
      <c r="L172" s="4">
        <f t="shared" si="95"/>
        <v>0</v>
      </c>
      <c r="M172" s="4">
        <f t="shared" si="95"/>
        <v>0</v>
      </c>
      <c r="N172" s="4">
        <f t="shared" si="95"/>
        <v>0</v>
      </c>
      <c r="O172" s="4">
        <f t="shared" si="95"/>
        <v>0</v>
      </c>
      <c r="P172" s="173"/>
    </row>
    <row r="173" spans="1:16" x14ac:dyDescent="0.25">
      <c r="A173" s="49" t="s">
        <v>299</v>
      </c>
      <c r="B173" s="59" t="s">
        <v>30</v>
      </c>
      <c r="C173" s="55" t="s">
        <v>127</v>
      </c>
      <c r="D173" s="49"/>
      <c r="E173" s="55">
        <f t="shared" ref="E173:O173" si="96">IF($D$131="Reciclagem na origem",E131*E133,0)+IF($D$135="Reciclagem na origem",E135*E137,0)+IF($D$139="Reciclagem na origem",E139*E141,0)+IF($D$143="Reciclagem na origem",E143*E145,0)+IF($D$147="Reciclagem na origem",E147*E149,0)+IF($D$151="Reciclagem na origem",E151*E153,0)+IF($D$155="Reciclagem na origem",E155*E157,0)+IF($D$159="Reciclagem na origem",E159*E161,0)+IF($D$163="Reciclagem na origem",E163*E165,0)+IF($D$167="Reciclagem na origem",E167*E169,0)</f>
        <v>0</v>
      </c>
      <c r="F173" s="55">
        <f t="shared" si="96"/>
        <v>0</v>
      </c>
      <c r="G173" s="55">
        <f t="shared" si="96"/>
        <v>0</v>
      </c>
      <c r="H173" s="55">
        <f t="shared" si="96"/>
        <v>0</v>
      </c>
      <c r="I173" s="55">
        <f t="shared" si="96"/>
        <v>0</v>
      </c>
      <c r="J173" s="55">
        <f t="shared" si="96"/>
        <v>0</v>
      </c>
      <c r="K173" s="55">
        <f t="shared" si="96"/>
        <v>0</v>
      </c>
      <c r="L173" s="55">
        <f t="shared" si="96"/>
        <v>0</v>
      </c>
      <c r="M173" s="55">
        <f t="shared" si="96"/>
        <v>0</v>
      </c>
      <c r="N173" s="55">
        <f t="shared" si="96"/>
        <v>0</v>
      </c>
      <c r="O173" s="55">
        <f t="shared" si="96"/>
        <v>0</v>
      </c>
      <c r="P173" s="173"/>
    </row>
    <row r="174" spans="1:16" x14ac:dyDescent="0.25">
      <c r="A174" s="122" t="s">
        <v>294</v>
      </c>
      <c r="B174" s="157" t="s">
        <v>419</v>
      </c>
      <c r="C174" s="123"/>
      <c r="D174" s="123"/>
      <c r="E174" s="123"/>
      <c r="F174" s="123"/>
      <c r="G174" s="123"/>
      <c r="H174" s="123"/>
      <c r="I174" s="123"/>
      <c r="J174" s="123"/>
      <c r="K174" s="123"/>
      <c r="L174" s="123"/>
      <c r="M174" s="123"/>
      <c r="N174" s="123"/>
      <c r="O174" s="123"/>
      <c r="P174" s="122"/>
    </row>
    <row r="175" spans="1:16" x14ac:dyDescent="0.25">
      <c r="A175" s="49" t="s">
        <v>295</v>
      </c>
      <c r="B175" s="59" t="s">
        <v>31</v>
      </c>
      <c r="C175" s="55" t="s">
        <v>438</v>
      </c>
      <c r="D175" s="234" t="s">
        <v>631</v>
      </c>
      <c r="E175" s="121">
        <f>IFERROR(((E114+E118+E123)*1000)/(Auxilar!E42*E171*52*0.001),0)</f>
        <v>0</v>
      </c>
      <c r="F175" s="121">
        <f>IFERROR(((F114+F118+F123)*1000)/(Auxilar!G42*F171*52*0.001),0)</f>
        <v>0</v>
      </c>
      <c r="G175" s="121">
        <f>IFERROR(((G114+G118+G123)*1000)/(Auxilar!H42*G171*52*0.001),0)</f>
        <v>0</v>
      </c>
      <c r="H175" s="121">
        <f>IFERROR(((H114+H118+H123)*1000)/(Auxilar!I42*H171*52*0.001),0)</f>
        <v>0</v>
      </c>
      <c r="I175" s="121">
        <f>IFERROR(((I114+I118+I123)*1000)/(Auxilar!J42*I171*52*0.001),0)</f>
        <v>0</v>
      </c>
      <c r="J175" s="121">
        <f>IFERROR(((J114+J118+J123)*1000)/(Auxilar!K42*J171*52*0.001),0)</f>
        <v>0</v>
      </c>
      <c r="K175" s="121">
        <f>IFERROR(((K114+K118+K123)*1000)/(Auxilar!L42*K171*52*0.001),0)</f>
        <v>0</v>
      </c>
      <c r="L175" s="121">
        <f>IFERROR(((L114+L118+L123)*1000)/(Auxilar!M42*L171*52*0.001),0)</f>
        <v>0</v>
      </c>
      <c r="M175" s="121">
        <f>IFERROR(((M114+M118+M123)*1000)/(Auxilar!N42*M171*52*0.001),0)</f>
        <v>0</v>
      </c>
      <c r="N175" s="121">
        <f>IFERROR(((N114+N118+N123)*1000)/(Auxilar!O42*N171*52*0.001),0)</f>
        <v>0</v>
      </c>
      <c r="O175" s="121">
        <f>IFERROR(((O114+O118+O123)*1000)/(Auxilar!P42*O171*52*0.001),0)</f>
        <v>0</v>
      </c>
      <c r="P175" s="173"/>
    </row>
    <row r="176" spans="1:16" x14ac:dyDescent="0.25">
      <c r="A176" s="49" t="s">
        <v>296</v>
      </c>
      <c r="B176" s="59" t="s">
        <v>29</v>
      </c>
      <c r="C176" s="55" t="s">
        <v>438</v>
      </c>
      <c r="D176" s="234" t="s">
        <v>632</v>
      </c>
      <c r="E176" s="121">
        <f>IFERROR(((E115+E119+E124)*1000)/(Auxilar!E43*E172*52*0.001),0)</f>
        <v>0</v>
      </c>
      <c r="F176" s="121">
        <f>IFERROR(((F115+F119+F124)*1000)/(Auxilar!G43*F172*52*0.001),0)</f>
        <v>0</v>
      </c>
      <c r="G176" s="121">
        <f>IFERROR(((G115+G119+G124)*1000)/(Auxilar!H43*G172*52*0.001),0)</f>
        <v>0</v>
      </c>
      <c r="H176" s="121">
        <f>IFERROR(((H115+H119+H124)*1000)/(Auxilar!I43*H172*52*0.001),0)</f>
        <v>0</v>
      </c>
      <c r="I176" s="121">
        <f>IFERROR(((I115+I119+I124)*1000)/(Auxilar!J43*I172*52*0.001),0)</f>
        <v>0</v>
      </c>
      <c r="J176" s="121">
        <f>IFERROR(((J115+J119+J124)*1000)/(Auxilar!K43*J172*52*0.001),0)</f>
        <v>0</v>
      </c>
      <c r="K176" s="121">
        <f>IFERROR(((K115+K119+K124)*1000)/(Auxilar!L43*K172*52*0.001),0)</f>
        <v>0</v>
      </c>
      <c r="L176" s="121">
        <f>IFERROR(((L115+L119+L124)*1000)/(Auxilar!M43*L172*52*0.001),0)</f>
        <v>0</v>
      </c>
      <c r="M176" s="121">
        <f>IFERROR(((M115+M119+M124)*1000)/(Auxilar!N43*M172*52*0.001),0)</f>
        <v>0</v>
      </c>
      <c r="N176" s="121">
        <f>IFERROR(((N115+N119+N124)*1000)/(Auxilar!O43*N172*52*0.001),0)</f>
        <v>0</v>
      </c>
      <c r="O176" s="121">
        <f>IFERROR(((O115+O119+O124)*1000)/(Auxilar!P43*O172*52*0.001),0)</f>
        <v>0</v>
      </c>
      <c r="P176" s="173"/>
    </row>
    <row r="177" spans="1:16" x14ac:dyDescent="0.25">
      <c r="A177" s="51" t="s">
        <v>91</v>
      </c>
      <c r="B177" s="50" t="s">
        <v>196</v>
      </c>
      <c r="C177" s="50"/>
      <c r="D177" s="50"/>
      <c r="E177" s="50"/>
      <c r="F177" s="50"/>
      <c r="G177" s="50"/>
      <c r="H177" s="50"/>
      <c r="I177" s="50"/>
      <c r="J177" s="50"/>
      <c r="K177" s="50"/>
      <c r="L177" s="50"/>
      <c r="M177" s="50"/>
      <c r="N177" s="50"/>
      <c r="O177" s="50"/>
      <c r="P177" s="51"/>
    </row>
    <row r="178" spans="1:16" x14ac:dyDescent="0.25">
      <c r="A178" s="122" t="s">
        <v>321</v>
      </c>
      <c r="B178" s="157" t="s">
        <v>320</v>
      </c>
      <c r="C178" s="123"/>
      <c r="D178" s="123"/>
      <c r="E178" s="123"/>
      <c r="F178" s="123"/>
      <c r="G178" s="123"/>
      <c r="H178" s="123"/>
      <c r="I178" s="123"/>
      <c r="J178" s="123"/>
      <c r="K178" s="123"/>
      <c r="L178" s="123"/>
      <c r="M178" s="123"/>
      <c r="N178" s="123"/>
      <c r="O178" s="123"/>
      <c r="P178" s="122"/>
    </row>
    <row r="179" spans="1:16" x14ac:dyDescent="0.25">
      <c r="A179" s="49" t="s">
        <v>328</v>
      </c>
      <c r="B179" s="54" t="s">
        <v>22</v>
      </c>
      <c r="C179" s="53"/>
      <c r="D179" s="53"/>
      <c r="E179" s="53"/>
      <c r="F179" s="53"/>
      <c r="G179" s="53"/>
      <c r="H179" s="53"/>
      <c r="I179" s="53"/>
      <c r="J179" s="53"/>
      <c r="K179" s="53"/>
      <c r="L179" s="53"/>
      <c r="M179" s="53"/>
      <c r="N179" s="53"/>
      <c r="O179" s="53"/>
      <c r="P179" s="173"/>
    </row>
    <row r="180" spans="1:16" x14ac:dyDescent="0.25">
      <c r="A180" s="49" t="s">
        <v>333</v>
      </c>
      <c r="B180" s="57" t="s">
        <v>15</v>
      </c>
      <c r="C180" s="55" t="s">
        <v>23</v>
      </c>
      <c r="D180" s="369" t="s">
        <v>124</v>
      </c>
      <c r="E180" s="174"/>
      <c r="F180" s="4">
        <f>E180</f>
        <v>0</v>
      </c>
      <c r="G180" s="4">
        <f>F180</f>
        <v>0</v>
      </c>
      <c r="H180" s="4">
        <f>G180</f>
        <v>0</v>
      </c>
      <c r="I180" s="4">
        <f t="shared" ref="I180:O180" si="97">H180</f>
        <v>0</v>
      </c>
      <c r="J180" s="4">
        <f t="shared" si="97"/>
        <v>0</v>
      </c>
      <c r="K180" s="4">
        <f t="shared" si="97"/>
        <v>0</v>
      </c>
      <c r="L180" s="4">
        <f t="shared" si="97"/>
        <v>0</v>
      </c>
      <c r="M180" s="4">
        <f t="shared" si="97"/>
        <v>0</v>
      </c>
      <c r="N180" s="4">
        <f t="shared" si="97"/>
        <v>0</v>
      </c>
      <c r="O180" s="4">
        <f t="shared" si="97"/>
        <v>0</v>
      </c>
      <c r="P180" s="173"/>
    </row>
    <row r="181" spans="1:16" x14ac:dyDescent="0.25">
      <c r="A181" s="49" t="s">
        <v>334</v>
      </c>
      <c r="B181" s="57" t="s">
        <v>42</v>
      </c>
      <c r="C181" s="55" t="s">
        <v>14</v>
      </c>
      <c r="D181" s="369"/>
      <c r="E181" s="53"/>
      <c r="F181" s="174"/>
      <c r="G181" s="174"/>
      <c r="H181" s="174"/>
      <c r="I181" s="174"/>
      <c r="J181" s="174"/>
      <c r="K181" s="174"/>
      <c r="L181" s="174"/>
      <c r="M181" s="174"/>
      <c r="N181" s="174"/>
      <c r="O181" s="174"/>
      <c r="P181" s="173"/>
    </row>
    <row r="182" spans="1:16" x14ac:dyDescent="0.25">
      <c r="A182" s="49" t="s">
        <v>335</v>
      </c>
      <c r="B182" s="57" t="s">
        <v>41</v>
      </c>
      <c r="C182" s="55" t="s">
        <v>14</v>
      </c>
      <c r="D182" s="369"/>
      <c r="E182" s="174"/>
      <c r="F182" s="174"/>
      <c r="G182" s="174"/>
      <c r="H182" s="174"/>
      <c r="I182" s="174"/>
      <c r="J182" s="174"/>
      <c r="K182" s="174"/>
      <c r="L182" s="174"/>
      <c r="M182" s="174"/>
      <c r="N182" s="174"/>
      <c r="O182" s="174"/>
      <c r="P182" s="173"/>
    </row>
    <row r="183" spans="1:16" x14ac:dyDescent="0.25">
      <c r="A183" s="49" t="s">
        <v>329</v>
      </c>
      <c r="B183" s="54" t="s">
        <v>24</v>
      </c>
      <c r="C183" s="53"/>
      <c r="D183" s="53"/>
      <c r="E183" s="53"/>
      <c r="F183" s="188"/>
      <c r="G183" s="188"/>
      <c r="H183" s="188"/>
      <c r="I183" s="188"/>
      <c r="J183" s="188"/>
      <c r="K183" s="188"/>
      <c r="L183" s="188"/>
      <c r="M183" s="188"/>
      <c r="N183" s="188"/>
      <c r="O183" s="188"/>
      <c r="P183" s="173"/>
    </row>
    <row r="184" spans="1:16" x14ac:dyDescent="0.25">
      <c r="A184" s="49" t="s">
        <v>336</v>
      </c>
      <c r="B184" s="57" t="s">
        <v>15</v>
      </c>
      <c r="C184" s="55" t="s">
        <v>23</v>
      </c>
      <c r="D184" s="369" t="s">
        <v>124</v>
      </c>
      <c r="E184" s="174"/>
      <c r="F184" s="4">
        <f t="shared" ref="F184:O184" si="98">E184</f>
        <v>0</v>
      </c>
      <c r="G184" s="4">
        <f t="shared" si="98"/>
        <v>0</v>
      </c>
      <c r="H184" s="4">
        <f t="shared" si="98"/>
        <v>0</v>
      </c>
      <c r="I184" s="4">
        <f t="shared" si="98"/>
        <v>0</v>
      </c>
      <c r="J184" s="4">
        <f t="shared" si="98"/>
        <v>0</v>
      </c>
      <c r="K184" s="4">
        <f t="shared" si="98"/>
        <v>0</v>
      </c>
      <c r="L184" s="4">
        <f t="shared" si="98"/>
        <v>0</v>
      </c>
      <c r="M184" s="4">
        <f t="shared" si="98"/>
        <v>0</v>
      </c>
      <c r="N184" s="4">
        <f t="shared" si="98"/>
        <v>0</v>
      </c>
      <c r="O184" s="4">
        <f t="shared" si="98"/>
        <v>0</v>
      </c>
      <c r="P184" s="173"/>
    </row>
    <row r="185" spans="1:16" x14ac:dyDescent="0.25">
      <c r="A185" s="49" t="s">
        <v>337</v>
      </c>
      <c r="B185" s="57" t="s">
        <v>42</v>
      </c>
      <c r="C185" s="55" t="s">
        <v>14</v>
      </c>
      <c r="D185" s="369"/>
      <c r="E185" s="53"/>
      <c r="F185" s="174"/>
      <c r="G185" s="174"/>
      <c r="H185" s="174"/>
      <c r="I185" s="174"/>
      <c r="J185" s="174"/>
      <c r="K185" s="174"/>
      <c r="L185" s="174"/>
      <c r="M185" s="174"/>
      <c r="N185" s="174"/>
      <c r="O185" s="174"/>
      <c r="P185" s="173"/>
    </row>
    <row r="186" spans="1:16" x14ac:dyDescent="0.25">
      <c r="A186" s="49" t="s">
        <v>338</v>
      </c>
      <c r="B186" s="57" t="s">
        <v>41</v>
      </c>
      <c r="C186" s="55" t="s">
        <v>14</v>
      </c>
      <c r="D186" s="369"/>
      <c r="E186" s="174"/>
      <c r="F186" s="174"/>
      <c r="G186" s="174"/>
      <c r="H186" s="174"/>
      <c r="I186" s="174"/>
      <c r="J186" s="174"/>
      <c r="K186" s="174"/>
      <c r="L186" s="174"/>
      <c r="M186" s="174"/>
      <c r="N186" s="174"/>
      <c r="O186" s="174"/>
      <c r="P186" s="173"/>
    </row>
    <row r="187" spans="1:16" x14ac:dyDescent="0.25">
      <c r="A187" s="49" t="s">
        <v>330</v>
      </c>
      <c r="B187" s="54" t="s">
        <v>25</v>
      </c>
      <c r="C187" s="53"/>
      <c r="D187" s="53"/>
      <c r="E187" s="53"/>
      <c r="F187" s="188"/>
      <c r="G187" s="188"/>
      <c r="H187" s="188"/>
      <c r="I187" s="188"/>
      <c r="J187" s="188"/>
      <c r="K187" s="188"/>
      <c r="L187" s="188"/>
      <c r="M187" s="188"/>
      <c r="N187" s="188"/>
      <c r="O187" s="188"/>
      <c r="P187" s="173"/>
    </row>
    <row r="188" spans="1:16" x14ac:dyDescent="0.25">
      <c r="A188" s="49" t="s">
        <v>339</v>
      </c>
      <c r="B188" s="57" t="s">
        <v>15</v>
      </c>
      <c r="C188" s="55" t="s">
        <v>23</v>
      </c>
      <c r="D188" s="369" t="s">
        <v>124</v>
      </c>
      <c r="E188" s="174"/>
      <c r="F188" s="4">
        <f t="shared" ref="F188:O188" si="99">E188</f>
        <v>0</v>
      </c>
      <c r="G188" s="4">
        <f t="shared" si="99"/>
        <v>0</v>
      </c>
      <c r="H188" s="4">
        <f t="shared" si="99"/>
        <v>0</v>
      </c>
      <c r="I188" s="4">
        <f t="shared" si="99"/>
        <v>0</v>
      </c>
      <c r="J188" s="4">
        <f t="shared" si="99"/>
        <v>0</v>
      </c>
      <c r="K188" s="4">
        <f t="shared" si="99"/>
        <v>0</v>
      </c>
      <c r="L188" s="4">
        <f t="shared" si="99"/>
        <v>0</v>
      </c>
      <c r="M188" s="4">
        <f t="shared" si="99"/>
        <v>0</v>
      </c>
      <c r="N188" s="4">
        <f t="shared" si="99"/>
        <v>0</v>
      </c>
      <c r="O188" s="4">
        <f t="shared" si="99"/>
        <v>0</v>
      </c>
      <c r="P188" s="173"/>
    </row>
    <row r="189" spans="1:16" x14ac:dyDescent="0.25">
      <c r="A189" s="49" t="s">
        <v>340</v>
      </c>
      <c r="B189" s="57" t="s">
        <v>42</v>
      </c>
      <c r="C189" s="55" t="s">
        <v>14</v>
      </c>
      <c r="D189" s="369"/>
      <c r="E189" s="53"/>
      <c r="F189" s="174"/>
      <c r="G189" s="174"/>
      <c r="H189" s="174"/>
      <c r="I189" s="174"/>
      <c r="J189" s="174"/>
      <c r="K189" s="174"/>
      <c r="L189" s="174"/>
      <c r="M189" s="174"/>
      <c r="N189" s="174"/>
      <c r="O189" s="174"/>
      <c r="P189" s="173"/>
    </row>
    <row r="190" spans="1:16" x14ac:dyDescent="0.25">
      <c r="A190" s="49" t="s">
        <v>341</v>
      </c>
      <c r="B190" s="57" t="s">
        <v>41</v>
      </c>
      <c r="C190" s="55" t="s">
        <v>14</v>
      </c>
      <c r="D190" s="369"/>
      <c r="E190" s="174"/>
      <c r="F190" s="174"/>
      <c r="G190" s="174"/>
      <c r="H190" s="174"/>
      <c r="I190" s="174"/>
      <c r="J190" s="174"/>
      <c r="K190" s="174"/>
      <c r="L190" s="174"/>
      <c r="M190" s="174"/>
      <c r="N190" s="174"/>
      <c r="O190" s="174"/>
      <c r="P190" s="173"/>
    </row>
    <row r="191" spans="1:16" x14ac:dyDescent="0.25">
      <c r="A191" s="49" t="s">
        <v>331</v>
      </c>
      <c r="B191" s="54" t="s">
        <v>26</v>
      </c>
      <c r="C191" s="53"/>
      <c r="D191" s="53"/>
      <c r="E191" s="53"/>
      <c r="F191" s="188"/>
      <c r="G191" s="188"/>
      <c r="H191" s="188"/>
      <c r="I191" s="188"/>
      <c r="J191" s="188"/>
      <c r="K191" s="188"/>
      <c r="L191" s="188"/>
      <c r="M191" s="188"/>
      <c r="N191" s="188"/>
      <c r="O191" s="188"/>
      <c r="P191" s="173"/>
    </row>
    <row r="192" spans="1:16" x14ac:dyDescent="0.25">
      <c r="A192" s="49" t="s">
        <v>342</v>
      </c>
      <c r="B192" s="57" t="s">
        <v>15</v>
      </c>
      <c r="C192" s="55" t="s">
        <v>23</v>
      </c>
      <c r="D192" s="369" t="s">
        <v>124</v>
      </c>
      <c r="E192" s="174"/>
      <c r="F192" s="4">
        <f t="shared" ref="F192:O192" si="100">E192</f>
        <v>0</v>
      </c>
      <c r="G192" s="4">
        <f t="shared" si="100"/>
        <v>0</v>
      </c>
      <c r="H192" s="4">
        <f t="shared" si="100"/>
        <v>0</v>
      </c>
      <c r="I192" s="4">
        <f t="shared" si="100"/>
        <v>0</v>
      </c>
      <c r="J192" s="4">
        <f t="shared" si="100"/>
        <v>0</v>
      </c>
      <c r="K192" s="4">
        <f t="shared" si="100"/>
        <v>0</v>
      </c>
      <c r="L192" s="4">
        <f t="shared" si="100"/>
        <v>0</v>
      </c>
      <c r="M192" s="4">
        <f t="shared" si="100"/>
        <v>0</v>
      </c>
      <c r="N192" s="4">
        <f t="shared" si="100"/>
        <v>0</v>
      </c>
      <c r="O192" s="4">
        <f t="shared" si="100"/>
        <v>0</v>
      </c>
      <c r="P192" s="173"/>
    </row>
    <row r="193" spans="1:16" x14ac:dyDescent="0.25">
      <c r="A193" s="49" t="s">
        <v>343</v>
      </c>
      <c r="B193" s="57" t="s">
        <v>42</v>
      </c>
      <c r="C193" s="55" t="s">
        <v>14</v>
      </c>
      <c r="D193" s="369"/>
      <c r="E193" s="53"/>
      <c r="F193" s="174"/>
      <c r="G193" s="174"/>
      <c r="H193" s="174"/>
      <c r="I193" s="174"/>
      <c r="J193" s="174"/>
      <c r="K193" s="174"/>
      <c r="L193" s="174"/>
      <c r="M193" s="174"/>
      <c r="N193" s="174"/>
      <c r="O193" s="174"/>
      <c r="P193" s="173"/>
    </row>
    <row r="194" spans="1:16" x14ac:dyDescent="0.25">
      <c r="A194" s="49" t="s">
        <v>344</v>
      </c>
      <c r="B194" s="57" t="s">
        <v>41</v>
      </c>
      <c r="C194" s="55" t="s">
        <v>14</v>
      </c>
      <c r="D194" s="369"/>
      <c r="E194" s="174"/>
      <c r="F194" s="174"/>
      <c r="G194" s="174"/>
      <c r="H194" s="174"/>
      <c r="I194" s="174"/>
      <c r="J194" s="174"/>
      <c r="K194" s="174"/>
      <c r="L194" s="174"/>
      <c r="M194" s="174"/>
      <c r="N194" s="174"/>
      <c r="O194" s="174"/>
      <c r="P194" s="173"/>
    </row>
    <row r="195" spans="1:16" x14ac:dyDescent="0.25">
      <c r="A195" s="49" t="s">
        <v>332</v>
      </c>
      <c r="B195" s="54" t="s">
        <v>27</v>
      </c>
      <c r="C195" s="53"/>
      <c r="D195" s="53"/>
      <c r="E195" s="53"/>
      <c r="F195" s="188"/>
      <c r="G195" s="188"/>
      <c r="H195" s="188"/>
      <c r="I195" s="188"/>
      <c r="J195" s="188"/>
      <c r="K195" s="188"/>
      <c r="L195" s="188"/>
      <c r="M195" s="188"/>
      <c r="N195" s="188"/>
      <c r="O195" s="188"/>
      <c r="P195" s="173"/>
    </row>
    <row r="196" spans="1:16" x14ac:dyDescent="0.25">
      <c r="A196" s="49" t="s">
        <v>345</v>
      </c>
      <c r="B196" s="57" t="s">
        <v>15</v>
      </c>
      <c r="C196" s="55" t="s">
        <v>23</v>
      </c>
      <c r="D196" s="369" t="s">
        <v>124</v>
      </c>
      <c r="E196" s="174"/>
      <c r="F196" s="4">
        <f>E196</f>
        <v>0</v>
      </c>
      <c r="G196" s="4">
        <f t="shared" ref="G196:O196" si="101">F196</f>
        <v>0</v>
      </c>
      <c r="H196" s="4">
        <f t="shared" si="101"/>
        <v>0</v>
      </c>
      <c r="I196" s="4">
        <f t="shared" si="101"/>
        <v>0</v>
      </c>
      <c r="J196" s="4">
        <f t="shared" si="101"/>
        <v>0</v>
      </c>
      <c r="K196" s="4">
        <f t="shared" si="101"/>
        <v>0</v>
      </c>
      <c r="L196" s="4">
        <f t="shared" si="101"/>
        <v>0</v>
      </c>
      <c r="M196" s="4">
        <f t="shared" si="101"/>
        <v>0</v>
      </c>
      <c r="N196" s="4">
        <f t="shared" si="101"/>
        <v>0</v>
      </c>
      <c r="O196" s="4">
        <f t="shared" si="101"/>
        <v>0</v>
      </c>
      <c r="P196" s="173"/>
    </row>
    <row r="197" spans="1:16" x14ac:dyDescent="0.25">
      <c r="A197" s="49" t="s">
        <v>346</v>
      </c>
      <c r="B197" s="57" t="s">
        <v>42</v>
      </c>
      <c r="C197" s="55" t="s">
        <v>14</v>
      </c>
      <c r="D197" s="369"/>
      <c r="E197" s="53"/>
      <c r="F197" s="174"/>
      <c r="G197" s="174"/>
      <c r="H197" s="174"/>
      <c r="I197" s="174"/>
      <c r="J197" s="174"/>
      <c r="K197" s="174"/>
      <c r="L197" s="174"/>
      <c r="M197" s="174"/>
      <c r="N197" s="174"/>
      <c r="O197" s="174"/>
      <c r="P197" s="173"/>
    </row>
    <row r="198" spans="1:16" x14ac:dyDescent="0.25">
      <c r="A198" s="49" t="s">
        <v>347</v>
      </c>
      <c r="B198" s="57" t="s">
        <v>41</v>
      </c>
      <c r="C198" s="55" t="s">
        <v>14</v>
      </c>
      <c r="D198" s="369"/>
      <c r="E198" s="174"/>
      <c r="F198" s="174"/>
      <c r="G198" s="174"/>
      <c r="H198" s="174"/>
      <c r="I198" s="174"/>
      <c r="J198" s="174"/>
      <c r="K198" s="174"/>
      <c r="L198" s="174"/>
      <c r="M198" s="174"/>
      <c r="N198" s="174"/>
      <c r="O198" s="174"/>
      <c r="P198" s="173"/>
    </row>
    <row r="199" spans="1:16" x14ac:dyDescent="0.25">
      <c r="A199" s="49" t="s">
        <v>468</v>
      </c>
      <c r="B199" s="54" t="s">
        <v>450</v>
      </c>
      <c r="C199" s="53"/>
      <c r="D199" s="53"/>
      <c r="E199" s="53"/>
      <c r="F199" s="188"/>
      <c r="G199" s="188"/>
      <c r="H199" s="188"/>
      <c r="I199" s="188"/>
      <c r="J199" s="188"/>
      <c r="K199" s="188"/>
      <c r="L199" s="188"/>
      <c r="M199" s="188"/>
      <c r="N199" s="188"/>
      <c r="O199" s="188"/>
      <c r="P199" s="173"/>
    </row>
    <row r="200" spans="1:16" x14ac:dyDescent="0.25">
      <c r="A200" s="49" t="s">
        <v>477</v>
      </c>
      <c r="B200" s="57" t="s">
        <v>15</v>
      </c>
      <c r="C200" s="55" t="s">
        <v>23</v>
      </c>
      <c r="D200" s="377" t="s">
        <v>124</v>
      </c>
      <c r="E200" s="174"/>
      <c r="F200" s="4">
        <f>E200</f>
        <v>0</v>
      </c>
      <c r="G200" s="4">
        <f t="shared" ref="G200:O200" si="102">F200</f>
        <v>0</v>
      </c>
      <c r="H200" s="4">
        <f t="shared" si="102"/>
        <v>0</v>
      </c>
      <c r="I200" s="4">
        <f t="shared" si="102"/>
        <v>0</v>
      </c>
      <c r="J200" s="4">
        <f t="shared" si="102"/>
        <v>0</v>
      </c>
      <c r="K200" s="4">
        <f t="shared" si="102"/>
        <v>0</v>
      </c>
      <c r="L200" s="4">
        <f t="shared" si="102"/>
        <v>0</v>
      </c>
      <c r="M200" s="4">
        <f t="shared" si="102"/>
        <v>0</v>
      </c>
      <c r="N200" s="4">
        <f t="shared" si="102"/>
        <v>0</v>
      </c>
      <c r="O200" s="4">
        <f t="shared" si="102"/>
        <v>0</v>
      </c>
      <c r="P200" s="173"/>
    </row>
    <row r="201" spans="1:16" x14ac:dyDescent="0.25">
      <c r="A201" s="49" t="s">
        <v>478</v>
      </c>
      <c r="B201" s="57" t="s">
        <v>42</v>
      </c>
      <c r="C201" s="55" t="s">
        <v>14</v>
      </c>
      <c r="D201" s="378"/>
      <c r="E201" s="53"/>
      <c r="F201" s="174"/>
      <c r="G201" s="174"/>
      <c r="H201" s="174"/>
      <c r="I201" s="174"/>
      <c r="J201" s="174"/>
      <c r="K201" s="174"/>
      <c r="L201" s="174"/>
      <c r="M201" s="174"/>
      <c r="N201" s="174"/>
      <c r="O201" s="174"/>
      <c r="P201" s="173"/>
    </row>
    <row r="202" spans="1:16" x14ac:dyDescent="0.25">
      <c r="A202" s="49" t="s">
        <v>479</v>
      </c>
      <c r="B202" s="57" t="s">
        <v>41</v>
      </c>
      <c r="C202" s="55" t="s">
        <v>14</v>
      </c>
      <c r="D202" s="379"/>
      <c r="E202" s="174"/>
      <c r="F202" s="174"/>
      <c r="G202" s="174"/>
      <c r="H202" s="174"/>
      <c r="I202" s="174"/>
      <c r="J202" s="174"/>
      <c r="K202" s="174"/>
      <c r="L202" s="174"/>
      <c r="M202" s="174"/>
      <c r="N202" s="174"/>
      <c r="O202" s="174"/>
      <c r="P202" s="173"/>
    </row>
    <row r="203" spans="1:16" x14ac:dyDescent="0.25">
      <c r="A203" s="49" t="s">
        <v>469</v>
      </c>
      <c r="B203" s="54" t="s">
        <v>451</v>
      </c>
      <c r="C203" s="53"/>
      <c r="D203" s="53"/>
      <c r="E203" s="53"/>
      <c r="F203" s="188"/>
      <c r="G203" s="188"/>
      <c r="H203" s="188"/>
      <c r="I203" s="188"/>
      <c r="J203" s="188"/>
      <c r="K203" s="188"/>
      <c r="L203" s="188"/>
      <c r="M203" s="188"/>
      <c r="N203" s="188"/>
      <c r="O203" s="188"/>
      <c r="P203" s="173"/>
    </row>
    <row r="204" spans="1:16" x14ac:dyDescent="0.25">
      <c r="A204" s="49" t="s">
        <v>474</v>
      </c>
      <c r="B204" s="57" t="s">
        <v>15</v>
      </c>
      <c r="C204" s="55" t="s">
        <v>23</v>
      </c>
      <c r="D204" s="369" t="s">
        <v>124</v>
      </c>
      <c r="E204" s="174"/>
      <c r="F204" s="4">
        <f>E204</f>
        <v>0</v>
      </c>
      <c r="G204" s="4">
        <f t="shared" ref="G204:O204" si="103">F204</f>
        <v>0</v>
      </c>
      <c r="H204" s="4">
        <f t="shared" si="103"/>
        <v>0</v>
      </c>
      <c r="I204" s="4">
        <f t="shared" si="103"/>
        <v>0</v>
      </c>
      <c r="J204" s="4">
        <f t="shared" si="103"/>
        <v>0</v>
      </c>
      <c r="K204" s="4">
        <f t="shared" si="103"/>
        <v>0</v>
      </c>
      <c r="L204" s="4">
        <f t="shared" si="103"/>
        <v>0</v>
      </c>
      <c r="M204" s="4">
        <f t="shared" si="103"/>
        <v>0</v>
      </c>
      <c r="N204" s="4">
        <f t="shared" si="103"/>
        <v>0</v>
      </c>
      <c r="O204" s="4">
        <f t="shared" si="103"/>
        <v>0</v>
      </c>
      <c r="P204" s="173"/>
    </row>
    <row r="205" spans="1:16" x14ac:dyDescent="0.25">
      <c r="A205" s="49" t="s">
        <v>475</v>
      </c>
      <c r="B205" s="57" t="s">
        <v>42</v>
      </c>
      <c r="C205" s="55" t="s">
        <v>14</v>
      </c>
      <c r="D205" s="369"/>
      <c r="E205" s="53"/>
      <c r="F205" s="174"/>
      <c r="G205" s="174"/>
      <c r="H205" s="174"/>
      <c r="I205" s="174"/>
      <c r="J205" s="174"/>
      <c r="K205" s="174"/>
      <c r="L205" s="174"/>
      <c r="M205" s="174"/>
      <c r="N205" s="174"/>
      <c r="O205" s="174"/>
      <c r="P205" s="173"/>
    </row>
    <row r="206" spans="1:16" x14ac:dyDescent="0.25">
      <c r="A206" s="49" t="s">
        <v>476</v>
      </c>
      <c r="B206" s="57" t="s">
        <v>41</v>
      </c>
      <c r="C206" s="55" t="s">
        <v>14</v>
      </c>
      <c r="D206" s="369"/>
      <c r="E206" s="174"/>
      <c r="F206" s="174"/>
      <c r="G206" s="174"/>
      <c r="H206" s="174"/>
      <c r="I206" s="174"/>
      <c r="J206" s="174"/>
      <c r="K206" s="174"/>
      <c r="L206" s="174"/>
      <c r="M206" s="174"/>
      <c r="N206" s="174"/>
      <c r="O206" s="174"/>
      <c r="P206" s="173"/>
    </row>
    <row r="207" spans="1:16" x14ac:dyDescent="0.25">
      <c r="A207" s="49" t="s">
        <v>470</v>
      </c>
      <c r="B207" s="54" t="s">
        <v>500</v>
      </c>
      <c r="C207" s="53"/>
      <c r="D207" s="53"/>
      <c r="E207" s="53"/>
      <c r="F207" s="188"/>
      <c r="G207" s="188"/>
      <c r="H207" s="188"/>
      <c r="I207" s="188"/>
      <c r="J207" s="188"/>
      <c r="K207" s="188"/>
      <c r="L207" s="188"/>
      <c r="M207" s="188"/>
      <c r="N207" s="188"/>
      <c r="O207" s="188"/>
      <c r="P207" s="173"/>
    </row>
    <row r="208" spans="1:16" x14ac:dyDescent="0.25">
      <c r="A208" s="49" t="s">
        <v>471</v>
      </c>
      <c r="B208" s="57" t="s">
        <v>15</v>
      </c>
      <c r="C208" s="55" t="s">
        <v>23</v>
      </c>
      <c r="D208" s="369" t="s">
        <v>124</v>
      </c>
      <c r="E208" s="174"/>
      <c r="F208" s="4">
        <f>E208</f>
        <v>0</v>
      </c>
      <c r="G208" s="4">
        <f t="shared" ref="G208:O208" si="104">F208</f>
        <v>0</v>
      </c>
      <c r="H208" s="4">
        <f t="shared" si="104"/>
        <v>0</v>
      </c>
      <c r="I208" s="4">
        <f t="shared" si="104"/>
        <v>0</v>
      </c>
      <c r="J208" s="4">
        <f t="shared" si="104"/>
        <v>0</v>
      </c>
      <c r="K208" s="4">
        <f t="shared" si="104"/>
        <v>0</v>
      </c>
      <c r="L208" s="4">
        <f t="shared" si="104"/>
        <v>0</v>
      </c>
      <c r="M208" s="4">
        <f t="shared" si="104"/>
        <v>0</v>
      </c>
      <c r="N208" s="4">
        <f t="shared" si="104"/>
        <v>0</v>
      </c>
      <c r="O208" s="4">
        <f t="shared" si="104"/>
        <v>0</v>
      </c>
      <c r="P208" s="173"/>
    </row>
    <row r="209" spans="1:16" x14ac:dyDescent="0.25">
      <c r="A209" s="49" t="s">
        <v>472</v>
      </c>
      <c r="B209" s="57" t="s">
        <v>42</v>
      </c>
      <c r="C209" s="55" t="s">
        <v>14</v>
      </c>
      <c r="D209" s="369"/>
      <c r="E209" s="53"/>
      <c r="F209" s="174"/>
      <c r="G209" s="174"/>
      <c r="H209" s="174"/>
      <c r="I209" s="174"/>
      <c r="J209" s="174"/>
      <c r="K209" s="174"/>
      <c r="L209" s="174"/>
      <c r="M209" s="174"/>
      <c r="N209" s="174"/>
      <c r="O209" s="174"/>
      <c r="P209" s="173"/>
    </row>
    <row r="210" spans="1:16" x14ac:dyDescent="0.25">
      <c r="A210" s="49" t="s">
        <v>473</v>
      </c>
      <c r="B210" s="57" t="s">
        <v>41</v>
      </c>
      <c r="C210" s="55" t="s">
        <v>14</v>
      </c>
      <c r="D210" s="369"/>
      <c r="E210" s="174"/>
      <c r="F210" s="174"/>
      <c r="G210" s="174"/>
      <c r="H210" s="174"/>
      <c r="I210" s="174"/>
      <c r="J210" s="174"/>
      <c r="K210" s="174"/>
      <c r="L210" s="174"/>
      <c r="M210" s="174"/>
      <c r="N210" s="174"/>
      <c r="O210" s="174"/>
      <c r="P210" s="173"/>
    </row>
    <row r="211" spans="1:16" x14ac:dyDescent="0.25">
      <c r="A211" s="122" t="s">
        <v>322</v>
      </c>
      <c r="B211" s="157" t="s">
        <v>437</v>
      </c>
      <c r="C211" s="123"/>
      <c r="D211" s="123"/>
      <c r="E211" s="123"/>
      <c r="F211" s="123"/>
      <c r="G211" s="123"/>
      <c r="H211" s="123"/>
      <c r="I211" s="123"/>
      <c r="J211" s="123"/>
      <c r="K211" s="123"/>
      <c r="L211" s="123"/>
      <c r="M211" s="123"/>
      <c r="N211" s="123"/>
      <c r="O211" s="123"/>
      <c r="P211" s="122"/>
    </row>
    <row r="212" spans="1:16" x14ac:dyDescent="0.25">
      <c r="A212" s="49" t="s">
        <v>326</v>
      </c>
      <c r="B212" s="54" t="s">
        <v>31</v>
      </c>
      <c r="C212" s="55" t="s">
        <v>23</v>
      </c>
      <c r="D212" s="49"/>
      <c r="E212" s="55">
        <f>IF($D$180="Via pública",E180*E182,0)+IF($D$184="Via pública",E184*E186,0)+IF($D$188="Via pública",E188*E190,0)+IF($D$192="Via pública",E192*E194,0)+IF($D$196="Via pública",E196*E198,0)+IF($D$200="Via pública",E200*E202,0)+IF($D$204="Via pública",E204*E206,0)+IF($D$208="Via pública",E208*E210,0)</f>
        <v>0</v>
      </c>
      <c r="F212" s="55">
        <f>IF($D$180="Via pública",F180*F182,0)+IF($D$184="Via pública",F184*F186,0)+IF($D$188="Via pública",F188*F190,0)+IF($D$192="Via pública",F192*F194,0)+IF($D$196="Via pública",F196*F198,0)+IF($D$200="Via pública",F200*F202,0)+IF($D$204="Via pública",F204*F206,0)+IF($D$208="Via pública",F208*F210,0)</f>
        <v>0</v>
      </c>
      <c r="G212" s="55">
        <f t="shared" ref="G212:O212" si="105">IF($D$180="Via pública",G180*G182,0)+IF($D$184="Via pública",G184*G186,0)+IF($D$188="Via pública",G188*G190,0)+IF($D$192="Via pública",G192*G194,0)+IF($D$196="Via pública",G196*G198,0)+IF($D$200="Via pública",G200*G202,0)+IF($D$204="Via pública",G204*G206,0)+IF($D$208="Via pública",G208*G210,0)</f>
        <v>0</v>
      </c>
      <c r="H212" s="55">
        <f t="shared" si="105"/>
        <v>0</v>
      </c>
      <c r="I212" s="55">
        <f t="shared" si="105"/>
        <v>0</v>
      </c>
      <c r="J212" s="55">
        <f t="shared" si="105"/>
        <v>0</v>
      </c>
      <c r="K212" s="55">
        <f t="shared" si="105"/>
        <v>0</v>
      </c>
      <c r="L212" s="55">
        <f t="shared" si="105"/>
        <v>0</v>
      </c>
      <c r="M212" s="55">
        <f t="shared" si="105"/>
        <v>0</v>
      </c>
      <c r="N212" s="55">
        <f t="shared" si="105"/>
        <v>0</v>
      </c>
      <c r="O212" s="55">
        <f t="shared" si="105"/>
        <v>0</v>
      </c>
      <c r="P212" s="173"/>
    </row>
    <row r="213" spans="1:16" x14ac:dyDescent="0.25">
      <c r="A213" s="49" t="s">
        <v>327</v>
      </c>
      <c r="B213" s="54" t="s">
        <v>29</v>
      </c>
      <c r="C213" s="55" t="s">
        <v>23</v>
      </c>
      <c r="D213" s="49"/>
      <c r="E213" s="55">
        <f>IF($D$180="Porta-a-porta",E180*E182,0)+IF($D$184="Porta-a-porta",E184*E186,0)+IF($D$188="Porta-a-porta",E188*E190,0)+IF($D$192="Porta-a-porta",E192*E194,0)+IF($D$196="Porta-a-porta",E196*E198,0)+IF($D$200="Porta-a-porta",E200*E202,0)+IF($D$204="Porta-a-porta",E204*E206,0)+IF($D$208="Porta-a-porta",E208*E210,0)</f>
        <v>0</v>
      </c>
      <c r="F213" s="55">
        <f t="shared" ref="F213:I213" si="106">IF($D$180="Porta-a-porta",F180*F182,0)+IF($D$184="Porta-a-porta",F184*F186,0)+IF($D$188="Porta-a-porta",F188*F190,0)+IF($D$192="Porta-a-porta",F192*F194,0)+IF($D$196="Porta-a-porta",F196*F198,0)+IF($D$200="Porta-a-porta",F200*F202,0)+IF($D$204="Porta-a-porta",F204*F206,0)+IF($D$208="Porta-a-porta",F208*F210,0)</f>
        <v>0</v>
      </c>
      <c r="G213" s="55">
        <f t="shared" si="106"/>
        <v>0</v>
      </c>
      <c r="H213" s="55">
        <f t="shared" si="106"/>
        <v>0</v>
      </c>
      <c r="I213" s="55">
        <f t="shared" si="106"/>
        <v>0</v>
      </c>
      <c r="J213" s="55">
        <f>IF($D$180="Porta-a-porta",J180*J182,0)+IF($D$184="Porta-a-porta",J184*J186,0)+IF($D$188="Porta-a-porta",J188*J190,0)+IF($D$192="Porta-a-porta",J192*J194,0)+IF($D$196="Porta-a-porta",J196*J198,0)+IF($D$200="Porta-a-porta",J200*J202,0)+IF($D$204="Porta-a-porta",J204*J206,0)+IF($D$208="Porta-a-porta",J208*J210,0)</f>
        <v>0</v>
      </c>
      <c r="K213" s="55">
        <f t="shared" ref="K213:O213" si="107">IF($D$180="Porta-a-porta",K180*K182,0)+IF($D$184="Porta-a-porta",K184*K186,0)+IF($D$188="Porta-a-porta",K188*K190,0)+IF($D$192="Porta-a-porta",K192*K194,0)+IF($D$196="Porta-a-porta",K196*K198,0)+IF($D$200="Porta-a-porta",K200*K202,0)+IF($D$204="Porta-a-porta",K204*K206,0)+IF($D$208="Porta-a-porta",K208*K210,0)</f>
        <v>0</v>
      </c>
      <c r="L213" s="55">
        <f t="shared" si="107"/>
        <v>0</v>
      </c>
      <c r="M213" s="55">
        <f t="shared" si="107"/>
        <v>0</v>
      </c>
      <c r="N213" s="55">
        <f t="shared" si="107"/>
        <v>0</v>
      </c>
      <c r="O213" s="55">
        <f t="shared" si="107"/>
        <v>0</v>
      </c>
      <c r="P213" s="173"/>
    </row>
    <row r="214" spans="1:16" x14ac:dyDescent="0.25">
      <c r="A214" s="122" t="s">
        <v>325</v>
      </c>
      <c r="B214" s="157" t="s">
        <v>226</v>
      </c>
      <c r="C214" s="123"/>
      <c r="D214" s="123"/>
      <c r="E214" s="123"/>
      <c r="F214" s="123"/>
      <c r="G214" s="123"/>
      <c r="H214" s="123"/>
      <c r="I214" s="123"/>
      <c r="J214" s="123"/>
      <c r="K214" s="123"/>
      <c r="L214" s="123"/>
      <c r="M214" s="123"/>
      <c r="N214" s="123"/>
      <c r="O214" s="123"/>
      <c r="P214" s="122"/>
    </row>
    <row r="215" spans="1:16" x14ac:dyDescent="0.25">
      <c r="A215" s="49" t="s">
        <v>323</v>
      </c>
      <c r="B215" s="54" t="s">
        <v>31</v>
      </c>
      <c r="C215" s="55" t="s">
        <v>438</v>
      </c>
      <c r="D215" s="234" t="s">
        <v>633</v>
      </c>
      <c r="E215" s="121">
        <f>IFERROR(((E114+E118+E123)*1000)/(Auxilar!E45*E212*52),0)</f>
        <v>0</v>
      </c>
      <c r="F215" s="121">
        <f>IFERROR(((F114+F118+F123)*1000)/(Auxilar!G45*F212*52),0)</f>
        <v>0</v>
      </c>
      <c r="G215" s="121">
        <f>IFERROR(((G114+G118+G123)*1000)/(Auxilar!H45*G212*52),0)</f>
        <v>0</v>
      </c>
      <c r="H215" s="121">
        <f>IFERROR(((H114+H118+H123)*1000)/(Auxilar!I45*H212*52),0)</f>
        <v>0</v>
      </c>
      <c r="I215" s="121">
        <f>IFERROR(((I114+I118+I123)*1000)/(Auxilar!J45*I212*52),0)</f>
        <v>0</v>
      </c>
      <c r="J215" s="121">
        <f>IFERROR(((J114+J118+J123)*1000)/(Auxilar!K45*J212*52),0)</f>
        <v>0</v>
      </c>
      <c r="K215" s="121">
        <f>IFERROR(((K114+K118+K123)*1000)/(Auxilar!L45*K212*52),0)</f>
        <v>0</v>
      </c>
      <c r="L215" s="121">
        <f>IFERROR(((L114+L118+L123)*1000)/(Auxilar!M45*L212*52),0)</f>
        <v>0</v>
      </c>
      <c r="M215" s="121">
        <f>IFERROR(((M114+M118+M123)*1000)/(Auxilar!N45*M212*52),0)</f>
        <v>0</v>
      </c>
      <c r="N215" s="121">
        <f>IFERROR(((N114+N118+N123)*1000)/(Auxilar!O45*N212*52),0)</f>
        <v>0</v>
      </c>
      <c r="O215" s="270">
        <f>IFERROR(((O114+O118+O123)*1000)/(Auxilar!P45*O212*52),0)</f>
        <v>0</v>
      </c>
      <c r="P215" s="173"/>
    </row>
    <row r="216" spans="1:16" x14ac:dyDescent="0.25">
      <c r="A216" s="49" t="s">
        <v>324</v>
      </c>
      <c r="B216" s="54" t="s">
        <v>29</v>
      </c>
      <c r="C216" s="55" t="s">
        <v>438</v>
      </c>
      <c r="D216" s="234" t="s">
        <v>634</v>
      </c>
      <c r="E216" s="70">
        <f>IFERROR(((E115+E119+E124)*1000)/(Auxilar!E46*E213*52),0)</f>
        <v>0</v>
      </c>
      <c r="F216" s="70">
        <f>IFERROR(((F115+F119+F124)*1000)/(Auxilar!G46*F213*52),0)</f>
        <v>0</v>
      </c>
      <c r="G216" s="70">
        <f>IFERROR(((G115+G119+G124)*1000)/(Auxilar!H46*G213*52),0)</f>
        <v>0</v>
      </c>
      <c r="H216" s="70">
        <f>IFERROR(((H115+H119+H124)*1000)/(Auxilar!I46*H213*52),0)</f>
        <v>0</v>
      </c>
      <c r="I216" s="70">
        <f>IFERROR(((I115+I119+I124)*1000)/(Auxilar!J46*I213*52),0)</f>
        <v>0</v>
      </c>
      <c r="J216" s="70">
        <f>IFERROR(((J115+J119+J124)*1000)/(Auxilar!K46*J213*52),0)</f>
        <v>0</v>
      </c>
      <c r="K216" s="70">
        <f>IFERROR(((K115+K119+K124)*1000)/(Auxilar!L46*K213*52),0)</f>
        <v>0</v>
      </c>
      <c r="L216" s="70">
        <f>IFERROR(((L115+L119+L124)*1000)/(Auxilar!M46*L213*52),0)</f>
        <v>0</v>
      </c>
      <c r="M216" s="70">
        <f>IFERROR(((M115+M119+M124)*1000)/(Auxilar!N46*M213*52),0)</f>
        <v>0</v>
      </c>
      <c r="N216" s="70">
        <f>IFERROR(((N115+N119+N124)*1000)/(Auxilar!O46*N213*52),0)</f>
        <v>0</v>
      </c>
      <c r="O216" s="70">
        <f>IFERROR(((O115+O119+O124)*1000)/(Auxilar!P46*O213*52),0)</f>
        <v>0</v>
      </c>
      <c r="P216" s="173"/>
    </row>
  </sheetData>
  <sheetProtection algorithmName="SHA-512" hashValue="k33lhFHgPCQp0g6GmU2/JfUW7oTQUX8wwOQMTyEhebW9OFem0tRXPZg7Up2pVmf26LaBeiR0+ds+r6Pk3G3KCQ==" saltValue="a8+DywRRChPRzYd+tAQ65g==" spinCount="100000" sheet="1" objects="1" scenarios="1"/>
  <mergeCells count="21">
    <mergeCell ref="D200:D202"/>
    <mergeCell ref="D204:D206"/>
    <mergeCell ref="D208:D210"/>
    <mergeCell ref="D151:D153"/>
    <mergeCell ref="D155:D157"/>
    <mergeCell ref="D159:D161"/>
    <mergeCell ref="D163:D165"/>
    <mergeCell ref="D167:D169"/>
    <mergeCell ref="D180:D182"/>
    <mergeCell ref="D135:D137"/>
    <mergeCell ref="D131:D133"/>
    <mergeCell ref="A1:P1"/>
    <mergeCell ref="D196:D198"/>
    <mergeCell ref="D184:D186"/>
    <mergeCell ref="D188:D190"/>
    <mergeCell ref="D192:D194"/>
    <mergeCell ref="D139:D141"/>
    <mergeCell ref="D143:D145"/>
    <mergeCell ref="D147:D149"/>
    <mergeCell ref="D39:D46"/>
    <mergeCell ref="D48:D55"/>
  </mergeCells>
  <phoneticPr fontId="32" type="noConversion"/>
  <conditionalFormatting sqref="E48 F48:O55 F95:O104">
    <cfRule type="cellIs" dxfId="31" priority="52" operator="greaterThan">
      <formula>1</formula>
    </cfRule>
    <cfRule type="cellIs" dxfId="30" priority="58" operator="greaterThan">
      <formula>1</formula>
    </cfRule>
  </conditionalFormatting>
  <conditionalFormatting sqref="E49:E55">
    <cfRule type="cellIs" dxfId="29" priority="48" operator="greaterThan">
      <formula>1</formula>
    </cfRule>
    <cfRule type="cellIs" dxfId="28" priority="49" operator="greaterThan">
      <formula>1</formula>
    </cfRule>
  </conditionalFormatting>
  <conditionalFormatting sqref="E48:O55 F95:O109">
    <cfRule type="cellIs" dxfId="27" priority="42" operator="greaterThan">
      <formula>1</formula>
    </cfRule>
  </conditionalFormatting>
  <conditionalFormatting sqref="F66:O73 E66">
    <cfRule type="cellIs" dxfId="26" priority="40" operator="greaterThan">
      <formula>1</formula>
    </cfRule>
    <cfRule type="cellIs" dxfId="25" priority="41" operator="greaterThan">
      <formula>1</formula>
    </cfRule>
  </conditionalFormatting>
  <conditionalFormatting sqref="E67:E73">
    <cfRule type="cellIs" dxfId="24" priority="38" operator="greaterThan">
      <formula>1</formula>
    </cfRule>
    <cfRule type="cellIs" dxfId="23" priority="39" operator="greaterThan">
      <formula>1</formula>
    </cfRule>
  </conditionalFormatting>
  <conditionalFormatting sqref="E66:O73">
    <cfRule type="cellIs" dxfId="22" priority="37" operator="greaterThan">
      <formula>1</formula>
    </cfRule>
  </conditionalFormatting>
  <conditionalFormatting sqref="E85 E93:O93 E91 F85:O93 E89:O89">
    <cfRule type="cellIs" dxfId="21" priority="35" operator="greaterThan">
      <formula>1</formula>
    </cfRule>
    <cfRule type="cellIs" dxfId="20" priority="36" operator="greaterThan">
      <formula>1</formula>
    </cfRule>
  </conditionalFormatting>
  <conditionalFormatting sqref="E86:O92">
    <cfRule type="cellIs" dxfId="19" priority="33" operator="greaterThan">
      <formula>1</formula>
    </cfRule>
    <cfRule type="cellIs" dxfId="18" priority="34" operator="greaterThan">
      <formula>1</formula>
    </cfRule>
  </conditionalFormatting>
  <conditionalFormatting sqref="E85:O93">
    <cfRule type="cellIs" dxfId="17" priority="32" operator="greaterThan">
      <formula>1</formula>
    </cfRule>
  </conditionalFormatting>
  <conditionalFormatting sqref="F95:O95 F105:O109">
    <cfRule type="cellIs" dxfId="16" priority="30" operator="greaterThan">
      <formula>1</formula>
    </cfRule>
    <cfRule type="cellIs" dxfId="15" priority="31" operator="greaterThan">
      <formula>1</formula>
    </cfRule>
  </conditionalFormatting>
  <conditionalFormatting sqref="E96:E104">
    <cfRule type="cellIs" dxfId="14" priority="14" operator="greaterThan">
      <formula>1</formula>
    </cfRule>
    <cfRule type="cellIs" dxfId="13" priority="15" operator="greaterThan">
      <formula>1</formula>
    </cfRule>
  </conditionalFormatting>
  <conditionalFormatting sqref="E95:E109">
    <cfRule type="cellIs" dxfId="12" priority="13" operator="greaterThan">
      <formula>1</formula>
    </cfRule>
  </conditionalFormatting>
  <conditionalFormatting sqref="E95 E105:E107">
    <cfRule type="cellIs" dxfId="11" priority="11" operator="greaterThan">
      <formula>1</formula>
    </cfRule>
    <cfRule type="cellIs" dxfId="10" priority="12" operator="greaterThan">
      <formula>1</formula>
    </cfRule>
  </conditionalFormatting>
  <conditionalFormatting sqref="E108:E109">
    <cfRule type="cellIs" dxfId="9" priority="9" operator="greaterThan">
      <formula>1</formula>
    </cfRule>
    <cfRule type="cellIs" dxfId="8" priority="10" operator="greaterThan">
      <formula>1</formula>
    </cfRule>
  </conditionalFormatting>
  <conditionalFormatting sqref="E26">
    <cfRule type="cellIs" dxfId="7" priority="8" operator="lessThan">
      <formula>E28</formula>
    </cfRule>
  </conditionalFormatting>
  <conditionalFormatting sqref="E29">
    <cfRule type="cellIs" dxfId="6" priority="6" operator="lessThan">
      <formula>$E$31</formula>
    </cfRule>
  </conditionalFormatting>
  <conditionalFormatting sqref="E113">
    <cfRule type="cellIs" dxfId="5" priority="4" operator="notEqual">
      <formula>$E$24</formula>
    </cfRule>
  </conditionalFormatting>
  <conditionalFormatting sqref="E117">
    <cfRule type="cellIs" dxfId="4" priority="3" operator="notEqual">
      <formula>$E$28+$E$31</formula>
    </cfRule>
  </conditionalFormatting>
  <conditionalFormatting sqref="E122">
    <cfRule type="cellIs" dxfId="3" priority="2" operator="notEqual">
      <formula>$E$35</formula>
    </cfRule>
  </conditionalFormatting>
  <conditionalFormatting sqref="E126">
    <cfRule type="cellIs" dxfId="2" priority="1" operator="notEqual">
      <formula>$E$37</formula>
    </cfRule>
  </conditionalFormatting>
  <dataValidations count="3">
    <dataValidation allowBlank="1" showInputMessage="1" showErrorMessage="1" prompt="Indique a capacidade do tipo de contentor, em m³" sqref="F146" xr:uid="{00000000-0002-0000-0400-000000000000}"/>
    <dataValidation showDropDown="1" showInputMessage="1" showErrorMessage="1" sqref="D30" xr:uid="{00000000-0002-0000-0400-000001000000}"/>
    <dataValidation errorStyle="information" operator="notEqual" allowBlank="1" errorTitle="ERRO" error="Este valor deve ser igual ao indicado em E24" prompt="Este valor deve ser igual ao indicado em E24" sqref="E113" xr:uid="{5EAE6D3B-4A8F-40F6-983B-6F4F49D060E3}"/>
  </dataValidations>
  <hyperlinks>
    <hyperlink ref="D127" location="Auxilar!A1" display="Preencha BA41221 na Folha 5 - &quot;Auxiliar&quot;" xr:uid="{00000000-0004-0000-0400-000000000000}"/>
  </hyperlinks>
  <pageMargins left="0.7" right="0.7" top="0.75" bottom="0.75" header="0.3" footer="0.3"/>
  <pageSetup paperSize="9" orientation="portrait" horizontalDpi="360" verticalDpi="360" r:id="rId1"/>
  <ignoredErrors>
    <ignoredError sqref="F15:O15" formula="1"/>
    <ignoredError sqref="F36:O37" evalError="1"/>
  </ignoredError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2000000}">
          <x14:formula1>
            <xm:f>Lista!$A$49:$A$55</xm:f>
          </x14:formula1>
          <xm:sqref>D5</xm:sqref>
        </x14:dataValidation>
        <x14:dataValidation type="list" allowBlank="1" showInputMessage="1" showErrorMessage="1" xr:uid="{00000000-0002-0000-0400-000003000000}">
          <x14:formula1>
            <xm:f>Lista!$A$109:$A$111</xm:f>
          </x14:formula1>
          <xm:sqref>D180:D182 D208:D210 D204:D206 D200:D202 D184:D186 D188:D198</xm:sqref>
        </x14:dataValidation>
        <x14:dataValidation type="list" allowBlank="1" showInputMessage="1" showErrorMessage="1" xr:uid="{00000000-0002-0000-0400-000004000000}">
          <x14:formula1>
            <xm:f>Lista!$A$113:$A$116</xm:f>
          </x14:formula1>
          <xm:sqref>D131:D133 D167:D169 D143:D165 D139:D141 D135:D137</xm:sqref>
        </x14:dataValidation>
        <x14:dataValidation type="list" allowBlank="1" showInputMessage="1" showErrorMessage="1" xr:uid="{00000000-0002-0000-0400-000005000000}">
          <x14:formula1>
            <xm:f>Lista!$A$11:$A$21</xm:f>
          </x14:formula1>
          <xm:sqref>D26</xm:sqref>
        </x14:dataValidation>
        <x14:dataValidation type="list" allowBlank="1" showInputMessage="1" showErrorMessage="1" xr:uid="{00000000-0002-0000-0400-000006000000}">
          <x14:formula1>
            <xm:f>Lista!$A$57:$A$99</xm:f>
          </x14:formula1>
          <xm:sqref>D18</xm:sqref>
        </x14:dataValidation>
        <x14:dataValidation type="list" allowBlank="1" showInputMessage="1" showErrorMessage="1" xr:uid="{00000000-0002-0000-0400-000007000000}">
          <x14:formula1>
            <xm:f>Lista!$B$57:$B$84</xm:f>
          </x14:formula1>
          <xm:sqref>D19</xm:sqref>
        </x14:dataValidation>
        <x14:dataValidation type="list" allowBlank="1" showInputMessage="1" showErrorMessage="1" xr:uid="{00000000-0002-0000-0400-000008000000}">
          <x14:formula1>
            <xm:f>Lista!$B$11:$B$24</xm:f>
          </x14:formula1>
          <xm:sqref>D29</xm:sqref>
        </x14:dataValidation>
        <x14:dataValidation type="list" showDropDown="1" showInputMessage="1" showErrorMessage="1" xr:uid="{00000000-0002-0000-0400-000009000000}">
          <x14:formula1>
            <xm:f>Lista!$B$11:$B$24</xm:f>
          </x14:formula1>
          <xm:sqref>D33</xm:sqref>
        </x14:dataValidation>
        <x14:dataValidation type="list" allowBlank="1" showInputMessage="1" showErrorMessage="1" xr:uid="{00000000-0002-0000-0400-00000A000000}">
          <x14:formula1>
            <xm:f>Lista!$C$105:$C$108</xm:f>
          </x14:formula1>
          <xm:sqref>D107:D109 D102:D104 D98:D100</xm:sqref>
        </x14:dataValidation>
        <x14:dataValidation type="list" allowBlank="1" showInputMessage="1" showErrorMessage="1" xr:uid="{00000000-0002-0000-0400-00000B000000}">
          <x14:formula1>
            <xm:f>Lista!$A$192:$A$194</xm:f>
          </x14:formula1>
          <xm:sqref>D39:D46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autoPageBreaks="0"/>
  </sheetPr>
  <dimension ref="A1:Q46"/>
  <sheetViews>
    <sheetView showGridLines="0" zoomScaleNormal="100" workbookViewId="0">
      <pane xSplit="3" ySplit="2" topLeftCell="E3" activePane="bottomRight" state="frozen"/>
      <selection pane="topRight" activeCell="D1" sqref="D1"/>
      <selection pane="bottomLeft" activeCell="A3" sqref="A3"/>
      <selection pane="bottomRight" sqref="A1:P1"/>
    </sheetView>
  </sheetViews>
  <sheetFormatPr defaultColWidth="8.85546875" defaultRowHeight="15" x14ac:dyDescent="0.25"/>
  <cols>
    <col min="1" max="1" width="10.85546875" style="101" customWidth="1"/>
    <col min="2" max="2" width="104.7109375" style="111" bestFit="1" customWidth="1"/>
    <col min="3" max="3" width="25.5703125" style="111" bestFit="1" customWidth="1"/>
    <col min="4" max="4" width="76.85546875" style="111" customWidth="1"/>
    <col min="5" max="5" width="8.5703125" style="111" bestFit="1" customWidth="1"/>
    <col min="6" max="6" width="8.140625" style="111" bestFit="1" customWidth="1"/>
    <col min="7" max="15" width="9.140625" style="111" bestFit="1" customWidth="1"/>
    <col min="16" max="16" width="9.140625" style="101" bestFit="1" customWidth="1"/>
    <col min="17" max="16384" width="8.85546875" style="101"/>
  </cols>
  <sheetData>
    <row r="1" spans="1:17" ht="15" customHeight="1" x14ac:dyDescent="0.25">
      <c r="A1" s="383" t="s">
        <v>413</v>
      </c>
      <c r="B1" s="384"/>
      <c r="C1" s="384"/>
      <c r="D1" s="384"/>
      <c r="E1" s="384"/>
      <c r="F1" s="384"/>
      <c r="G1" s="384"/>
      <c r="H1" s="384"/>
      <c r="I1" s="384"/>
      <c r="J1" s="384"/>
      <c r="K1" s="384"/>
      <c r="L1" s="384"/>
      <c r="M1" s="384"/>
      <c r="N1" s="384"/>
      <c r="O1" s="384"/>
      <c r="P1" s="385"/>
    </row>
    <row r="2" spans="1:17" s="108" customFormat="1" x14ac:dyDescent="0.25">
      <c r="A2" s="66" t="s">
        <v>99</v>
      </c>
      <c r="B2" s="65" t="s">
        <v>6</v>
      </c>
      <c r="C2" s="66" t="s">
        <v>7</v>
      </c>
      <c r="D2" s="66" t="s">
        <v>72</v>
      </c>
      <c r="E2" s="66">
        <v>2019</v>
      </c>
      <c r="F2" s="66">
        <v>2020</v>
      </c>
      <c r="G2" s="66">
        <v>2021</v>
      </c>
      <c r="H2" s="66">
        <v>2022</v>
      </c>
      <c r="I2" s="66">
        <v>2023</v>
      </c>
      <c r="J2" s="66">
        <v>2024</v>
      </c>
      <c r="K2" s="66">
        <v>2025</v>
      </c>
      <c r="L2" s="66">
        <v>2026</v>
      </c>
      <c r="M2" s="66">
        <v>2027</v>
      </c>
      <c r="N2" s="66">
        <v>2028</v>
      </c>
      <c r="O2" s="66">
        <v>2029</v>
      </c>
      <c r="P2" s="66">
        <v>2030</v>
      </c>
    </row>
    <row r="3" spans="1:17" x14ac:dyDescent="0.25">
      <c r="A3" s="134" t="s">
        <v>192</v>
      </c>
      <c r="B3" s="50" t="s">
        <v>5</v>
      </c>
      <c r="C3" s="50"/>
      <c r="D3" s="50"/>
      <c r="E3" s="50"/>
      <c r="F3" s="50"/>
      <c r="G3" s="50"/>
      <c r="H3" s="50"/>
      <c r="I3" s="50"/>
      <c r="J3" s="50"/>
      <c r="K3" s="50"/>
      <c r="L3" s="50"/>
      <c r="M3" s="50"/>
      <c r="N3" s="50"/>
      <c r="O3" s="50"/>
      <c r="P3" s="50"/>
    </row>
    <row r="4" spans="1:17" ht="30" x14ac:dyDescent="0.25">
      <c r="A4" s="68" t="s">
        <v>348</v>
      </c>
      <c r="B4" s="52" t="s">
        <v>163</v>
      </c>
      <c r="C4" s="55" t="s">
        <v>12</v>
      </c>
      <c r="D4" s="289" t="s">
        <v>73</v>
      </c>
      <c r="E4" s="53"/>
      <c r="F4" s="285"/>
      <c r="G4" s="285"/>
      <c r="H4" s="285"/>
      <c r="I4" s="285"/>
      <c r="J4" s="285"/>
      <c r="K4" s="285"/>
      <c r="L4" s="285"/>
      <c r="M4" s="285"/>
      <c r="N4" s="285"/>
      <c r="O4" s="285"/>
      <c r="P4" s="285"/>
    </row>
    <row r="5" spans="1:17" x14ac:dyDescent="0.25">
      <c r="A5" s="134" t="s">
        <v>159</v>
      </c>
      <c r="B5" s="50" t="s">
        <v>102</v>
      </c>
      <c r="C5" s="50"/>
      <c r="D5" s="50"/>
      <c r="E5" s="50"/>
      <c r="F5" s="50"/>
      <c r="G5" s="50"/>
      <c r="H5" s="50"/>
      <c r="I5" s="50"/>
      <c r="J5" s="50"/>
      <c r="K5" s="50"/>
      <c r="L5" s="50"/>
      <c r="M5" s="50"/>
      <c r="N5" s="50"/>
      <c r="O5" s="50"/>
      <c r="P5" s="50"/>
    </row>
    <row r="6" spans="1:17" x14ac:dyDescent="0.25">
      <c r="A6" s="135" t="s">
        <v>349</v>
      </c>
      <c r="B6" s="159" t="s">
        <v>108</v>
      </c>
      <c r="C6" s="119"/>
      <c r="D6" s="119"/>
      <c r="E6" s="119"/>
      <c r="F6" s="119"/>
      <c r="G6" s="119"/>
      <c r="H6" s="119"/>
      <c r="I6" s="119"/>
      <c r="J6" s="119"/>
      <c r="K6" s="119"/>
      <c r="L6" s="119"/>
      <c r="M6" s="119"/>
      <c r="N6" s="119"/>
      <c r="O6" s="119"/>
      <c r="P6" s="119"/>
    </row>
    <row r="7" spans="1:17" ht="30" x14ac:dyDescent="0.25">
      <c r="A7" s="68" t="s">
        <v>351</v>
      </c>
      <c r="B7" s="160" t="s">
        <v>112</v>
      </c>
      <c r="C7" s="194" t="s">
        <v>12</v>
      </c>
      <c r="D7" s="69" t="s">
        <v>154</v>
      </c>
      <c r="E7" s="277"/>
      <c r="F7" s="65"/>
      <c r="G7" s="65"/>
      <c r="H7" s="65"/>
      <c r="I7" s="65"/>
      <c r="J7" s="65"/>
      <c r="K7" s="65"/>
      <c r="L7" s="65"/>
      <c r="M7" s="65"/>
      <c r="N7" s="65"/>
      <c r="O7" s="65"/>
      <c r="P7" s="65"/>
      <c r="Q7" s="102"/>
    </row>
    <row r="8" spans="1:17" ht="30" x14ac:dyDescent="0.25">
      <c r="A8" s="68" t="s">
        <v>352</v>
      </c>
      <c r="B8" s="160" t="s">
        <v>113</v>
      </c>
      <c r="C8" s="194" t="s">
        <v>12</v>
      </c>
      <c r="D8" s="69" t="s">
        <v>155</v>
      </c>
      <c r="E8" s="277"/>
      <c r="F8" s="65"/>
      <c r="G8" s="65"/>
      <c r="H8" s="65"/>
      <c r="I8" s="65"/>
      <c r="J8" s="65"/>
      <c r="K8" s="65"/>
      <c r="L8" s="65"/>
      <c r="M8" s="65"/>
      <c r="N8" s="65"/>
      <c r="O8" s="65"/>
      <c r="P8" s="65"/>
    </row>
    <row r="9" spans="1:17" x14ac:dyDescent="0.25">
      <c r="A9" s="136" t="s">
        <v>350</v>
      </c>
      <c r="B9" s="161" t="s">
        <v>197</v>
      </c>
      <c r="C9" s="120"/>
      <c r="D9" s="120"/>
      <c r="E9" s="120"/>
      <c r="F9" s="120"/>
      <c r="G9" s="120"/>
      <c r="H9" s="120"/>
      <c r="I9" s="120"/>
      <c r="J9" s="120"/>
      <c r="K9" s="120"/>
      <c r="L9" s="120"/>
      <c r="M9" s="120"/>
      <c r="N9" s="120"/>
      <c r="O9" s="120"/>
      <c r="P9" s="120"/>
    </row>
    <row r="10" spans="1:17" ht="30" x14ac:dyDescent="0.25">
      <c r="A10" s="68" t="s">
        <v>353</v>
      </c>
      <c r="B10" s="54" t="s">
        <v>443</v>
      </c>
      <c r="C10" s="55" t="s">
        <v>74</v>
      </c>
      <c r="D10" s="69" t="s">
        <v>75</v>
      </c>
      <c r="E10" s="177"/>
      <c r="F10" s="65"/>
      <c r="G10" s="177"/>
      <c r="H10" s="177"/>
      <c r="I10" s="177"/>
      <c r="J10" s="177"/>
      <c r="K10" s="177"/>
      <c r="L10" s="177"/>
      <c r="M10" s="177"/>
      <c r="N10" s="177"/>
      <c r="O10" s="177"/>
      <c r="P10" s="177"/>
    </row>
    <row r="11" spans="1:17" ht="30" x14ac:dyDescent="0.25">
      <c r="A11" s="68" t="s">
        <v>354</v>
      </c>
      <c r="B11" s="54" t="s">
        <v>164</v>
      </c>
      <c r="C11" s="55" t="s">
        <v>74</v>
      </c>
      <c r="D11" s="69" t="s">
        <v>76</v>
      </c>
      <c r="E11" s="177"/>
      <c r="F11" s="65"/>
      <c r="G11" s="177"/>
      <c r="H11" s="177"/>
      <c r="I11" s="177"/>
      <c r="J11" s="177"/>
      <c r="K11" s="177"/>
      <c r="L11" s="177"/>
      <c r="M11" s="177"/>
      <c r="N11" s="177"/>
      <c r="O11" s="177"/>
      <c r="P11" s="177"/>
    </row>
    <row r="12" spans="1:17" x14ac:dyDescent="0.25">
      <c r="A12" s="134" t="s">
        <v>160</v>
      </c>
      <c r="B12" s="50" t="s">
        <v>440</v>
      </c>
      <c r="C12" s="50"/>
      <c r="D12" s="50"/>
      <c r="E12" s="50"/>
      <c r="F12" s="50"/>
      <c r="G12" s="50"/>
      <c r="H12" s="50"/>
      <c r="I12" s="50"/>
      <c r="J12" s="50"/>
      <c r="K12" s="50"/>
      <c r="L12" s="50"/>
      <c r="M12" s="50"/>
      <c r="N12" s="50"/>
      <c r="O12" s="50"/>
      <c r="P12" s="50"/>
    </row>
    <row r="13" spans="1:17" ht="30" x14ac:dyDescent="0.25">
      <c r="A13" s="68" t="s">
        <v>355</v>
      </c>
      <c r="B13" s="52" t="s">
        <v>439</v>
      </c>
      <c r="C13" s="55" t="s">
        <v>8</v>
      </c>
      <c r="D13" s="69" t="s">
        <v>532</v>
      </c>
      <c r="E13" s="179"/>
      <c r="F13" s="65"/>
      <c r="G13" s="174"/>
      <c r="H13" s="4">
        <f>G13</f>
        <v>0</v>
      </c>
      <c r="I13" s="4">
        <f t="shared" ref="I13:P13" si="0">H13</f>
        <v>0</v>
      </c>
      <c r="J13" s="4">
        <f t="shared" si="0"/>
        <v>0</v>
      </c>
      <c r="K13" s="4">
        <f t="shared" si="0"/>
        <v>0</v>
      </c>
      <c r="L13" s="4">
        <f t="shared" si="0"/>
        <v>0</v>
      </c>
      <c r="M13" s="4">
        <f t="shared" si="0"/>
        <v>0</v>
      </c>
      <c r="N13" s="4">
        <f t="shared" si="0"/>
        <v>0</v>
      </c>
      <c r="O13" s="4">
        <f t="shared" si="0"/>
        <v>0</v>
      </c>
      <c r="P13" s="4">
        <f t="shared" si="0"/>
        <v>0</v>
      </c>
      <c r="Q13" s="109"/>
    </row>
    <row r="14" spans="1:17" ht="23.25" customHeight="1" x14ac:dyDescent="0.25">
      <c r="A14" s="68" t="s">
        <v>356</v>
      </c>
      <c r="B14" s="54" t="s">
        <v>442</v>
      </c>
      <c r="C14" s="55" t="s">
        <v>8</v>
      </c>
      <c r="D14" s="69"/>
      <c r="E14" s="180"/>
      <c r="F14" s="55"/>
      <c r="G14" s="4">
        <f>G15+G16+G17</f>
        <v>0</v>
      </c>
      <c r="H14" s="4">
        <f t="shared" ref="H14:P14" si="1">H15+H16+H17</f>
        <v>0</v>
      </c>
      <c r="I14" s="4">
        <f t="shared" si="1"/>
        <v>0</v>
      </c>
      <c r="J14" s="4">
        <f t="shared" si="1"/>
        <v>0</v>
      </c>
      <c r="K14" s="4">
        <f t="shared" si="1"/>
        <v>0</v>
      </c>
      <c r="L14" s="4">
        <f t="shared" si="1"/>
        <v>0</v>
      </c>
      <c r="M14" s="4">
        <f t="shared" si="1"/>
        <v>0</v>
      </c>
      <c r="N14" s="4">
        <f t="shared" si="1"/>
        <v>0</v>
      </c>
      <c r="O14" s="4">
        <f t="shared" si="1"/>
        <v>0</v>
      </c>
      <c r="P14" s="4">
        <f t="shared" si="1"/>
        <v>0</v>
      </c>
      <c r="Q14" s="110"/>
    </row>
    <row r="15" spans="1:17" ht="28.15" customHeight="1" x14ac:dyDescent="0.25">
      <c r="A15" s="68" t="s">
        <v>358</v>
      </c>
      <c r="B15" s="57" t="s">
        <v>31</v>
      </c>
      <c r="C15" s="55" t="s">
        <v>8</v>
      </c>
      <c r="D15" s="380" t="s">
        <v>533</v>
      </c>
      <c r="E15" s="181"/>
      <c r="F15" s="4"/>
      <c r="G15" s="174"/>
      <c r="H15" s="174"/>
      <c r="I15" s="174"/>
      <c r="J15" s="174"/>
      <c r="K15" s="174"/>
      <c r="L15" s="174"/>
      <c r="M15" s="174"/>
      <c r="N15" s="174"/>
      <c r="O15" s="174"/>
      <c r="P15" s="174"/>
      <c r="Q15" s="103"/>
    </row>
    <row r="16" spans="1:17" ht="27.6" customHeight="1" x14ac:dyDescent="0.25">
      <c r="A16" s="68" t="s">
        <v>359</v>
      </c>
      <c r="B16" s="57" t="s">
        <v>29</v>
      </c>
      <c r="C16" s="55" t="s">
        <v>8</v>
      </c>
      <c r="D16" s="381"/>
      <c r="E16" s="181"/>
      <c r="F16" s="4"/>
      <c r="G16" s="174"/>
      <c r="H16" s="174"/>
      <c r="I16" s="174"/>
      <c r="J16" s="174"/>
      <c r="K16" s="174"/>
      <c r="L16" s="174"/>
      <c r="M16" s="174"/>
      <c r="N16" s="174"/>
      <c r="O16" s="174"/>
      <c r="P16" s="174"/>
    </row>
    <row r="17" spans="1:16" ht="22.9" customHeight="1" x14ac:dyDescent="0.25">
      <c r="A17" s="68" t="s">
        <v>360</v>
      </c>
      <c r="B17" s="57" t="s">
        <v>30</v>
      </c>
      <c r="C17" s="55" t="s">
        <v>8</v>
      </c>
      <c r="D17" s="382"/>
      <c r="E17" s="181"/>
      <c r="F17" s="4"/>
      <c r="G17" s="174"/>
      <c r="H17" s="174"/>
      <c r="I17" s="174"/>
      <c r="J17" s="174"/>
      <c r="K17" s="174"/>
      <c r="L17" s="174"/>
      <c r="M17" s="174"/>
      <c r="N17" s="174"/>
      <c r="O17" s="174"/>
      <c r="P17" s="174"/>
    </row>
    <row r="18" spans="1:16" ht="25.5" customHeight="1" x14ac:dyDescent="0.25">
      <c r="A18" s="68" t="s">
        <v>357</v>
      </c>
      <c r="B18" s="54" t="s">
        <v>441</v>
      </c>
      <c r="C18" s="55" t="s">
        <v>8</v>
      </c>
      <c r="D18" s="69"/>
      <c r="E18" s="180"/>
      <c r="F18" s="55"/>
      <c r="G18" s="4">
        <f>G19+G20+G21</f>
        <v>0</v>
      </c>
      <c r="H18" s="4">
        <f t="shared" ref="H18:P18" si="2">H19+H20+H21</f>
        <v>0</v>
      </c>
      <c r="I18" s="4">
        <f t="shared" si="2"/>
        <v>0</v>
      </c>
      <c r="J18" s="4">
        <f t="shared" si="2"/>
        <v>0</v>
      </c>
      <c r="K18" s="4">
        <f t="shared" si="2"/>
        <v>0</v>
      </c>
      <c r="L18" s="4">
        <f t="shared" si="2"/>
        <v>0</v>
      </c>
      <c r="M18" s="4">
        <f t="shared" si="2"/>
        <v>0</v>
      </c>
      <c r="N18" s="4">
        <f t="shared" si="2"/>
        <v>0</v>
      </c>
      <c r="O18" s="4">
        <f t="shared" si="2"/>
        <v>0</v>
      </c>
      <c r="P18" s="4">
        <f t="shared" si="2"/>
        <v>0</v>
      </c>
    </row>
    <row r="19" spans="1:16" ht="26.45" customHeight="1" x14ac:dyDescent="0.25">
      <c r="A19" s="68" t="s">
        <v>361</v>
      </c>
      <c r="B19" s="57" t="s">
        <v>31</v>
      </c>
      <c r="C19" s="55" t="s">
        <v>8</v>
      </c>
      <c r="D19" s="380" t="s">
        <v>534</v>
      </c>
      <c r="E19" s="181"/>
      <c r="F19" s="4"/>
      <c r="G19" s="174"/>
      <c r="H19" s="174"/>
      <c r="I19" s="174"/>
      <c r="J19" s="174"/>
      <c r="K19" s="174"/>
      <c r="L19" s="174"/>
      <c r="M19" s="174"/>
      <c r="N19" s="174"/>
      <c r="O19" s="174"/>
      <c r="P19" s="174"/>
    </row>
    <row r="20" spans="1:16" ht="27" customHeight="1" x14ac:dyDescent="0.25">
      <c r="A20" s="68" t="s">
        <v>362</v>
      </c>
      <c r="B20" s="57" t="s">
        <v>29</v>
      </c>
      <c r="C20" s="55" t="s">
        <v>8</v>
      </c>
      <c r="D20" s="381"/>
      <c r="E20" s="181"/>
      <c r="F20" s="4"/>
      <c r="G20" s="174"/>
      <c r="H20" s="174"/>
      <c r="I20" s="174"/>
      <c r="J20" s="174"/>
      <c r="K20" s="174"/>
      <c r="L20" s="174"/>
      <c r="M20" s="174"/>
      <c r="N20" s="174"/>
      <c r="O20" s="174"/>
      <c r="P20" s="174"/>
    </row>
    <row r="21" spans="1:16" ht="24.6" customHeight="1" x14ac:dyDescent="0.25">
      <c r="A21" s="68" t="s">
        <v>363</v>
      </c>
      <c r="B21" s="57" t="s">
        <v>30</v>
      </c>
      <c r="C21" s="55" t="s">
        <v>8</v>
      </c>
      <c r="D21" s="382"/>
      <c r="E21" s="181"/>
      <c r="F21" s="4"/>
      <c r="G21" s="174"/>
      <c r="H21" s="174"/>
      <c r="I21" s="174"/>
      <c r="J21" s="174"/>
      <c r="K21" s="174"/>
      <c r="L21" s="174"/>
      <c r="M21" s="174"/>
      <c r="N21" s="174"/>
      <c r="O21" s="174"/>
      <c r="P21" s="174"/>
    </row>
    <row r="22" spans="1:16" x14ac:dyDescent="0.25">
      <c r="A22" s="137" t="s">
        <v>161</v>
      </c>
      <c r="B22" s="50" t="s">
        <v>156</v>
      </c>
      <c r="C22" s="50"/>
      <c r="D22" s="50"/>
      <c r="E22" s="50"/>
      <c r="F22" s="50"/>
      <c r="G22" s="50"/>
      <c r="H22" s="50"/>
      <c r="I22" s="50"/>
      <c r="J22" s="50"/>
      <c r="K22" s="50"/>
      <c r="L22" s="50"/>
      <c r="M22" s="50"/>
      <c r="N22" s="50"/>
      <c r="O22" s="50"/>
      <c r="P22" s="50"/>
    </row>
    <row r="23" spans="1:16" x14ac:dyDescent="0.25">
      <c r="A23" s="43" t="s">
        <v>364</v>
      </c>
      <c r="B23" s="162" t="s">
        <v>65</v>
      </c>
      <c r="C23" s="44"/>
      <c r="D23" s="45"/>
      <c r="E23" s="45"/>
      <c r="F23" s="45"/>
      <c r="G23" s="46"/>
      <c r="H23" s="46"/>
      <c r="I23" s="46"/>
      <c r="J23" s="46"/>
      <c r="K23" s="46"/>
      <c r="L23" s="46"/>
      <c r="M23" s="46"/>
      <c r="N23" s="46"/>
      <c r="O23" s="46"/>
      <c r="P23" s="46"/>
    </row>
    <row r="24" spans="1:16" x14ac:dyDescent="0.25">
      <c r="A24" s="43" t="s">
        <v>365</v>
      </c>
      <c r="B24" s="192" t="s">
        <v>63</v>
      </c>
      <c r="C24" s="44"/>
      <c r="D24" s="45"/>
      <c r="E24" s="45"/>
      <c r="F24" s="45"/>
      <c r="G24" s="46"/>
      <c r="H24" s="46"/>
      <c r="I24" s="46"/>
      <c r="J24" s="46"/>
      <c r="K24" s="46"/>
      <c r="L24" s="46"/>
      <c r="M24" s="46"/>
      <c r="N24" s="46"/>
      <c r="O24" s="46"/>
      <c r="P24" s="46"/>
    </row>
    <row r="25" spans="1:16" x14ac:dyDescent="0.25">
      <c r="A25" s="43" t="s">
        <v>551</v>
      </c>
      <c r="B25" s="192" t="s">
        <v>67</v>
      </c>
      <c r="C25" s="44"/>
      <c r="D25" s="45"/>
      <c r="E25" s="45"/>
      <c r="F25" s="45"/>
      <c r="G25" s="46"/>
      <c r="H25" s="46"/>
      <c r="I25" s="46"/>
      <c r="J25" s="46"/>
      <c r="K25" s="46"/>
      <c r="L25" s="46"/>
      <c r="M25" s="46"/>
      <c r="N25" s="46"/>
      <c r="O25" s="46"/>
      <c r="P25" s="46"/>
    </row>
    <row r="26" spans="1:16" x14ac:dyDescent="0.25">
      <c r="A26" s="68" t="s">
        <v>555</v>
      </c>
      <c r="B26" s="57" t="s">
        <v>31</v>
      </c>
      <c r="C26" s="55" t="s">
        <v>12</v>
      </c>
      <c r="D26" s="55" t="s">
        <v>565</v>
      </c>
      <c r="E26" s="53"/>
      <c r="F26" s="53"/>
      <c r="G26" s="178"/>
      <c r="H26" s="178"/>
      <c r="I26" s="178"/>
      <c r="J26" s="178"/>
      <c r="K26" s="178"/>
      <c r="L26" s="178"/>
      <c r="M26" s="178"/>
      <c r="N26" s="178"/>
      <c r="O26" s="178"/>
      <c r="P26" s="178"/>
    </row>
    <row r="27" spans="1:16" x14ac:dyDescent="0.25">
      <c r="A27" s="68" t="s">
        <v>556</v>
      </c>
      <c r="B27" s="57" t="s">
        <v>29</v>
      </c>
      <c r="C27" s="55" t="s">
        <v>12</v>
      </c>
      <c r="D27" s="55" t="s">
        <v>565</v>
      </c>
      <c r="E27" s="53"/>
      <c r="F27" s="53"/>
      <c r="G27" s="178"/>
      <c r="H27" s="178"/>
      <c r="I27" s="178"/>
      <c r="J27" s="178"/>
      <c r="K27" s="178"/>
      <c r="L27" s="178"/>
      <c r="M27" s="178"/>
      <c r="N27" s="178"/>
      <c r="O27" s="178"/>
      <c r="P27" s="178"/>
    </row>
    <row r="28" spans="1:16" x14ac:dyDescent="0.25">
      <c r="A28" s="68" t="s">
        <v>557</v>
      </c>
      <c r="B28" s="57" t="s">
        <v>30</v>
      </c>
      <c r="C28" s="55" t="s">
        <v>12</v>
      </c>
      <c r="D28" s="55" t="s">
        <v>565</v>
      </c>
      <c r="E28" s="53"/>
      <c r="F28" s="53"/>
      <c r="G28" s="178"/>
      <c r="H28" s="178"/>
      <c r="I28" s="178"/>
      <c r="J28" s="178"/>
      <c r="K28" s="178"/>
      <c r="L28" s="178"/>
      <c r="M28" s="178"/>
      <c r="N28" s="178"/>
      <c r="O28" s="178"/>
      <c r="P28" s="178"/>
    </row>
    <row r="29" spans="1:16" x14ac:dyDescent="0.25">
      <c r="A29" s="43" t="s">
        <v>552</v>
      </c>
      <c r="B29" s="192" t="s">
        <v>68</v>
      </c>
      <c r="C29" s="44"/>
      <c r="D29" s="45"/>
      <c r="E29" s="45"/>
      <c r="F29" s="45"/>
      <c r="G29" s="46"/>
      <c r="H29" s="46"/>
      <c r="I29" s="46"/>
      <c r="J29" s="46"/>
      <c r="K29" s="46"/>
      <c r="L29" s="46"/>
      <c r="M29" s="46"/>
      <c r="N29" s="46"/>
      <c r="O29" s="46"/>
      <c r="P29" s="46"/>
    </row>
    <row r="30" spans="1:16" x14ac:dyDescent="0.25">
      <c r="A30" s="68" t="s">
        <v>558</v>
      </c>
      <c r="B30" s="57" t="s">
        <v>31</v>
      </c>
      <c r="C30" s="55" t="s">
        <v>12</v>
      </c>
      <c r="D30" s="55" t="s">
        <v>565</v>
      </c>
      <c r="E30" s="53"/>
      <c r="F30" s="53"/>
      <c r="G30" s="178"/>
      <c r="H30" s="178"/>
      <c r="I30" s="178"/>
      <c r="J30" s="178"/>
      <c r="K30" s="178"/>
      <c r="L30" s="178"/>
      <c r="M30" s="178"/>
      <c r="N30" s="178"/>
      <c r="O30" s="178"/>
      <c r="P30" s="178"/>
    </row>
    <row r="31" spans="1:16" x14ac:dyDescent="0.25">
      <c r="A31" s="68" t="s">
        <v>559</v>
      </c>
      <c r="B31" s="57" t="s">
        <v>29</v>
      </c>
      <c r="C31" s="55" t="s">
        <v>12</v>
      </c>
      <c r="D31" s="55" t="s">
        <v>565</v>
      </c>
      <c r="E31" s="53"/>
      <c r="F31" s="53"/>
      <c r="G31" s="178"/>
      <c r="H31" s="178"/>
      <c r="I31" s="178"/>
      <c r="J31" s="178"/>
      <c r="K31" s="178"/>
      <c r="L31" s="178"/>
      <c r="M31" s="178"/>
      <c r="N31" s="178"/>
      <c r="O31" s="178"/>
      <c r="P31" s="178"/>
    </row>
    <row r="32" spans="1:16" x14ac:dyDescent="0.25">
      <c r="A32" s="68" t="s">
        <v>560</v>
      </c>
      <c r="B32" s="57" t="s">
        <v>30</v>
      </c>
      <c r="C32" s="55" t="s">
        <v>12</v>
      </c>
      <c r="D32" s="55" t="s">
        <v>565</v>
      </c>
      <c r="E32" s="53"/>
      <c r="F32" s="53"/>
      <c r="G32" s="178"/>
      <c r="H32" s="178"/>
      <c r="I32" s="178"/>
      <c r="J32" s="178"/>
      <c r="K32" s="178"/>
      <c r="L32" s="178"/>
      <c r="M32" s="178"/>
      <c r="N32" s="178"/>
      <c r="O32" s="178"/>
      <c r="P32" s="178"/>
    </row>
    <row r="33" spans="1:16" x14ac:dyDescent="0.25">
      <c r="A33" s="43" t="s">
        <v>366</v>
      </c>
      <c r="B33" s="192" t="s">
        <v>64</v>
      </c>
      <c r="C33" s="44"/>
      <c r="D33" s="45"/>
      <c r="E33" s="45"/>
      <c r="F33" s="45"/>
      <c r="G33" s="44"/>
      <c r="H33" s="44"/>
      <c r="I33" s="44"/>
      <c r="J33" s="44"/>
      <c r="K33" s="44"/>
      <c r="L33" s="44"/>
      <c r="M33" s="44"/>
      <c r="N33" s="44"/>
      <c r="O33" s="44"/>
      <c r="P33" s="44"/>
    </row>
    <row r="34" spans="1:16" x14ac:dyDescent="0.25">
      <c r="A34" s="43" t="s">
        <v>553</v>
      </c>
      <c r="B34" s="192" t="s">
        <v>455</v>
      </c>
      <c r="C34" s="44"/>
      <c r="D34" s="45"/>
      <c r="E34" s="45"/>
      <c r="F34" s="45"/>
      <c r="G34" s="44"/>
      <c r="H34" s="44"/>
      <c r="I34" s="44"/>
      <c r="J34" s="44"/>
      <c r="K34" s="44"/>
      <c r="L34" s="44"/>
      <c r="M34" s="44"/>
      <c r="N34" s="44"/>
      <c r="O34" s="44"/>
      <c r="P34" s="44"/>
    </row>
    <row r="35" spans="1:16" x14ac:dyDescent="0.25">
      <c r="A35" s="68" t="s">
        <v>561</v>
      </c>
      <c r="B35" s="57" t="s">
        <v>31</v>
      </c>
      <c r="C35" s="55" t="s">
        <v>12</v>
      </c>
      <c r="D35" s="55" t="s">
        <v>565</v>
      </c>
      <c r="E35" s="53"/>
      <c r="F35" s="53"/>
      <c r="G35" s="178"/>
      <c r="H35" s="178"/>
      <c r="I35" s="178"/>
      <c r="J35" s="178"/>
      <c r="K35" s="178"/>
      <c r="L35" s="178"/>
      <c r="M35" s="178"/>
      <c r="N35" s="178"/>
      <c r="O35" s="178"/>
      <c r="P35" s="178"/>
    </row>
    <row r="36" spans="1:16" x14ac:dyDescent="0.25">
      <c r="A36" s="68" t="s">
        <v>562</v>
      </c>
      <c r="B36" s="57" t="s">
        <v>29</v>
      </c>
      <c r="C36" s="55" t="s">
        <v>12</v>
      </c>
      <c r="D36" s="55" t="s">
        <v>565</v>
      </c>
      <c r="E36" s="53"/>
      <c r="F36" s="53"/>
      <c r="G36" s="178"/>
      <c r="H36" s="178"/>
      <c r="I36" s="178"/>
      <c r="J36" s="178"/>
      <c r="K36" s="178"/>
      <c r="L36" s="178"/>
      <c r="M36" s="178"/>
      <c r="N36" s="178"/>
      <c r="O36" s="178"/>
      <c r="P36" s="178"/>
    </row>
    <row r="37" spans="1:16" x14ac:dyDescent="0.25">
      <c r="A37" s="68" t="s">
        <v>563</v>
      </c>
      <c r="B37" s="57" t="s">
        <v>30</v>
      </c>
      <c r="C37" s="55" t="s">
        <v>12</v>
      </c>
      <c r="D37" s="55" t="s">
        <v>565</v>
      </c>
      <c r="E37" s="53"/>
      <c r="F37" s="53"/>
      <c r="G37" s="178"/>
      <c r="H37" s="178"/>
      <c r="I37" s="178"/>
      <c r="J37" s="178"/>
      <c r="K37" s="178"/>
      <c r="L37" s="178"/>
      <c r="M37" s="178"/>
      <c r="N37" s="178"/>
      <c r="O37" s="178"/>
      <c r="P37" s="178"/>
    </row>
    <row r="38" spans="1:16" x14ac:dyDescent="0.25">
      <c r="A38" s="43" t="s">
        <v>554</v>
      </c>
      <c r="B38" s="192" t="s">
        <v>458</v>
      </c>
      <c r="C38" s="162"/>
      <c r="D38" s="162"/>
      <c r="E38" s="162"/>
      <c r="F38" s="162"/>
      <c r="G38" s="162"/>
      <c r="H38" s="162"/>
      <c r="I38" s="162"/>
      <c r="J38" s="162"/>
      <c r="K38" s="162"/>
      <c r="L38" s="162"/>
      <c r="M38" s="162"/>
      <c r="N38" s="162"/>
      <c r="O38" s="162"/>
      <c r="P38" s="162"/>
    </row>
    <row r="39" spans="1:16" ht="30" x14ac:dyDescent="0.25">
      <c r="A39" s="68" t="s">
        <v>564</v>
      </c>
      <c r="B39" s="57" t="s">
        <v>458</v>
      </c>
      <c r="C39" s="55" t="s">
        <v>12</v>
      </c>
      <c r="D39" s="69" t="s">
        <v>566</v>
      </c>
      <c r="E39" s="53"/>
      <c r="F39" s="53"/>
      <c r="G39" s="178"/>
      <c r="H39" s="178"/>
      <c r="I39" s="178"/>
      <c r="J39" s="178"/>
      <c r="K39" s="178"/>
      <c r="L39" s="178"/>
      <c r="M39" s="178"/>
      <c r="N39" s="178"/>
      <c r="O39" s="178"/>
      <c r="P39" s="178"/>
    </row>
    <row r="40" spans="1:16" x14ac:dyDescent="0.25">
      <c r="A40" s="134" t="s">
        <v>162</v>
      </c>
      <c r="B40" s="50" t="s">
        <v>195</v>
      </c>
      <c r="C40" s="50"/>
      <c r="D40" s="50"/>
      <c r="E40" s="50"/>
      <c r="F40" s="50"/>
      <c r="G40" s="50"/>
      <c r="H40" s="50"/>
      <c r="I40" s="50"/>
      <c r="J40" s="50"/>
      <c r="K40" s="50"/>
      <c r="L40" s="50"/>
      <c r="M40" s="50"/>
      <c r="N40" s="50"/>
      <c r="O40" s="50"/>
      <c r="P40" s="50"/>
    </row>
    <row r="41" spans="1:16" x14ac:dyDescent="0.25">
      <c r="A41" s="43" t="s">
        <v>367</v>
      </c>
      <c r="B41" s="162" t="s">
        <v>227</v>
      </c>
      <c r="C41" s="45"/>
      <c r="D41" s="45"/>
      <c r="E41" s="45"/>
      <c r="F41" s="45"/>
      <c r="G41" s="45"/>
      <c r="H41" s="45"/>
      <c r="I41" s="45"/>
      <c r="J41" s="45"/>
      <c r="K41" s="45"/>
      <c r="L41" s="45"/>
      <c r="M41" s="45"/>
      <c r="N41" s="45"/>
      <c r="O41" s="45"/>
      <c r="P41" s="45"/>
    </row>
    <row r="42" spans="1:16" ht="32.25" customHeight="1" x14ac:dyDescent="0.25">
      <c r="A42" s="68" t="s">
        <v>369</v>
      </c>
      <c r="B42" s="57" t="s">
        <v>31</v>
      </c>
      <c r="C42" s="55" t="s">
        <v>14</v>
      </c>
      <c r="D42" s="69" t="s">
        <v>575</v>
      </c>
      <c r="E42" s="291"/>
      <c r="F42" s="55"/>
      <c r="G42" s="291"/>
      <c r="H42" s="291"/>
      <c r="I42" s="291"/>
      <c r="J42" s="291"/>
      <c r="K42" s="291"/>
      <c r="L42" s="291"/>
      <c r="M42" s="291"/>
      <c r="N42" s="291"/>
      <c r="O42" s="291"/>
      <c r="P42" s="291"/>
    </row>
    <row r="43" spans="1:16" ht="30.75" customHeight="1" x14ac:dyDescent="0.25">
      <c r="A43" s="68" t="s">
        <v>370</v>
      </c>
      <c r="B43" s="57" t="s">
        <v>29</v>
      </c>
      <c r="C43" s="55" t="s">
        <v>14</v>
      </c>
      <c r="D43" s="69" t="s">
        <v>576</v>
      </c>
      <c r="E43" s="291"/>
      <c r="F43" s="55"/>
      <c r="G43" s="291"/>
      <c r="H43" s="291"/>
      <c r="I43" s="291"/>
      <c r="J43" s="291"/>
      <c r="K43" s="291"/>
      <c r="L43" s="291"/>
      <c r="M43" s="291"/>
      <c r="N43" s="291"/>
      <c r="O43" s="291"/>
      <c r="P43" s="291"/>
    </row>
    <row r="44" spans="1:16" x14ac:dyDescent="0.25">
      <c r="A44" s="43" t="s">
        <v>368</v>
      </c>
      <c r="B44" s="162" t="s">
        <v>228</v>
      </c>
      <c r="C44" s="45"/>
      <c r="D44" s="45"/>
      <c r="E44" s="45"/>
      <c r="F44" s="45"/>
      <c r="G44" s="45"/>
      <c r="H44" s="45"/>
      <c r="I44" s="45"/>
      <c r="J44" s="45"/>
      <c r="K44" s="45"/>
      <c r="L44" s="45"/>
      <c r="M44" s="45"/>
      <c r="N44" s="45"/>
      <c r="O44" s="45"/>
      <c r="P44" s="45"/>
    </row>
    <row r="45" spans="1:16" ht="43.5" customHeight="1" x14ac:dyDescent="0.25">
      <c r="A45" s="68" t="s">
        <v>371</v>
      </c>
      <c r="B45" s="57" t="s">
        <v>31</v>
      </c>
      <c r="C45" s="55" t="s">
        <v>14</v>
      </c>
      <c r="D45" s="69" t="s">
        <v>577</v>
      </c>
      <c r="E45" s="291"/>
      <c r="F45" s="55"/>
      <c r="G45" s="291"/>
      <c r="H45" s="291"/>
      <c r="I45" s="291"/>
      <c r="J45" s="291"/>
      <c r="K45" s="291"/>
      <c r="L45" s="291"/>
      <c r="M45" s="291"/>
      <c r="N45" s="291"/>
      <c r="O45" s="291"/>
      <c r="P45" s="291"/>
    </row>
    <row r="46" spans="1:16" ht="44.25" customHeight="1" x14ac:dyDescent="0.25">
      <c r="A46" s="68" t="s">
        <v>372</v>
      </c>
      <c r="B46" s="57" t="s">
        <v>29</v>
      </c>
      <c r="C46" s="55" t="s">
        <v>14</v>
      </c>
      <c r="D46" s="69" t="s">
        <v>578</v>
      </c>
      <c r="E46" s="291"/>
      <c r="F46" s="55"/>
      <c r="G46" s="291"/>
      <c r="H46" s="291"/>
      <c r="I46" s="291"/>
      <c r="J46" s="291"/>
      <c r="K46" s="291"/>
      <c r="L46" s="291"/>
      <c r="M46" s="291"/>
      <c r="N46" s="291"/>
      <c r="O46" s="291"/>
      <c r="P46" s="291"/>
    </row>
  </sheetData>
  <sheetProtection algorithmName="SHA-512" hashValue="dF5nsjeN9yMD9kbEz+9X7Osa9tBpHik48auk03kIaxLne1Ur3/Mgou910q6nOwwsC8nZOnXXhFwzF+x7n6CXcg==" saltValue="9dZo+H4XCUC7k7z08bNKEQ==" spinCount="100000" sheet="1" objects="1" scenarios="1" formatCells="0"/>
  <protectedRanges>
    <protectedRange sqref="E7:E8 G13 E13 E15:E17 E19:E21 E10:E11 F4:P4 G35:P38 G30:P32 G26:P28" name="Intervalo1"/>
    <protectedRange sqref="E42:E43" name="Intervalo1_3"/>
    <protectedRange sqref="E45:E46 G45:P46" name="Intervalo1_4"/>
    <protectedRange sqref="G39:P39" name="Intervalo1_5"/>
    <protectedRange sqref="G15:P17 G19:P21" name="Intervalo1_1_2"/>
    <protectedRange sqref="G42:P43" name="Intervalo1_3_1"/>
  </protectedRanges>
  <mergeCells count="3">
    <mergeCell ref="D15:D17"/>
    <mergeCell ref="D19:D21"/>
    <mergeCell ref="A1:P1"/>
  </mergeCells>
  <phoneticPr fontId="32" type="noConversion"/>
  <conditionalFormatting sqref="G14:P14">
    <cfRule type="cellIs" dxfId="1" priority="2" operator="greaterThan">
      <formula>$G$13</formula>
    </cfRule>
  </conditionalFormatting>
  <conditionalFormatting sqref="G18:P18">
    <cfRule type="cellIs" dxfId="0" priority="1" operator="greaterThan">
      <formula>$G$13</formula>
    </cfRule>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40"/>
  <sheetViews>
    <sheetView topLeftCell="O1" zoomScale="80" zoomScaleNormal="80" workbookViewId="0">
      <selection activeCell="N1" sqref="A1:N1048576"/>
    </sheetView>
  </sheetViews>
  <sheetFormatPr defaultColWidth="9.140625" defaultRowHeight="15" x14ac:dyDescent="0.25"/>
  <cols>
    <col min="1" max="1" width="93.7109375" hidden="1" customWidth="1"/>
    <col min="2" max="2" width="86.7109375" hidden="1" customWidth="1"/>
    <col min="3" max="3" width="34.5703125" hidden="1" customWidth="1"/>
    <col min="4" max="4" width="21" hidden="1" customWidth="1"/>
    <col min="5" max="5" width="11.42578125" hidden="1" customWidth="1"/>
    <col min="6" max="6" width="15.28515625" hidden="1" customWidth="1"/>
    <col min="7" max="7" width="10.28515625" hidden="1" customWidth="1"/>
    <col min="8" max="12" width="11.7109375" hidden="1" customWidth="1"/>
    <col min="13" max="14" width="9.140625" hidden="1" customWidth="1"/>
    <col min="15" max="16" width="9.140625" style="152"/>
    <col min="17" max="17" width="24.28515625" style="152" bestFit="1" customWidth="1"/>
    <col min="18" max="16384" width="9.140625" style="152"/>
  </cols>
  <sheetData>
    <row r="1" spans="1:25" x14ac:dyDescent="0.25">
      <c r="A1" s="1" t="s">
        <v>6</v>
      </c>
      <c r="B1" s="2" t="s">
        <v>7</v>
      </c>
      <c r="C1" s="2">
        <v>2019</v>
      </c>
      <c r="D1" s="2">
        <v>2020</v>
      </c>
      <c r="E1" s="2">
        <v>2021</v>
      </c>
      <c r="F1" s="2">
        <v>2022</v>
      </c>
      <c r="G1" s="2">
        <v>2023</v>
      </c>
      <c r="H1" s="2">
        <v>2024</v>
      </c>
      <c r="I1" s="2">
        <v>2025</v>
      </c>
      <c r="J1" s="2">
        <v>2026</v>
      </c>
      <c r="K1" s="2">
        <v>2027</v>
      </c>
      <c r="L1" s="2">
        <v>2028</v>
      </c>
      <c r="M1" s="2">
        <v>2029</v>
      </c>
      <c r="N1" s="2">
        <v>2030</v>
      </c>
    </row>
    <row r="2" spans="1:25" x14ac:dyDescent="0.25">
      <c r="A2" s="386" t="s">
        <v>5</v>
      </c>
      <c r="B2" s="386"/>
      <c r="C2" s="386"/>
      <c r="D2" s="386"/>
      <c r="E2" s="386"/>
      <c r="F2" s="386"/>
      <c r="G2" s="386"/>
      <c r="H2" s="386"/>
      <c r="I2" s="386"/>
      <c r="J2" s="386"/>
      <c r="K2" s="386"/>
      <c r="L2" s="386"/>
      <c r="M2" s="386"/>
      <c r="N2" s="386"/>
      <c r="O2" s="153"/>
      <c r="P2" s="153"/>
      <c r="Q2" s="153"/>
      <c r="R2" s="153"/>
      <c r="S2" s="153"/>
      <c r="T2" s="153"/>
      <c r="U2" s="153"/>
      <c r="V2" s="153"/>
      <c r="W2" s="153"/>
      <c r="X2" s="153"/>
      <c r="Y2" s="153"/>
    </row>
    <row r="3" spans="1:25" x14ac:dyDescent="0.25">
      <c r="A3" s="6" t="s">
        <v>5</v>
      </c>
      <c r="B3" s="2" t="s">
        <v>8</v>
      </c>
      <c r="C3" s="9"/>
      <c r="D3" s="7" t="str">
        <f>IFERROR(('Input Técnico'!E4+('Input Técnico'!E4*D4)),"")</f>
        <v/>
      </c>
      <c r="E3" s="1"/>
      <c r="F3" s="1"/>
      <c r="G3" s="1"/>
      <c r="H3" s="1"/>
      <c r="I3" s="1"/>
      <c r="J3" s="1"/>
      <c r="K3" s="1"/>
      <c r="L3" s="1"/>
      <c r="M3" s="1"/>
      <c r="N3" s="1"/>
      <c r="O3" s="153"/>
      <c r="P3" s="153"/>
      <c r="Q3" s="153"/>
      <c r="R3" s="153"/>
      <c r="S3" s="153"/>
      <c r="T3" s="153"/>
      <c r="U3" s="153"/>
      <c r="V3" s="153"/>
      <c r="W3" s="153"/>
      <c r="X3" s="153"/>
      <c r="Y3" s="153"/>
    </row>
    <row r="4" spans="1:25" x14ac:dyDescent="0.25">
      <c r="A4" s="6" t="s">
        <v>16</v>
      </c>
      <c r="B4" s="6"/>
      <c r="C4" s="9"/>
      <c r="D4" s="10" t="str">
        <f>IF('Input Técnico'!D5="Norte",Lista!D5,IF('Input Técnico'!$D$5="Centro",Lista!D6,IF('Input Técnico'!$D$5="Área Metropolitana de Lisboa",Lista!D7,IF('Input Técnico'!$D$5="Alentejo",Lista!D8,IF('Input Técnico'!$D$5="Algarve",Lista!D9,IF('Input Técnico'!$D$5="Valor proposto pelo município",Auxilar!F4,""))))))</f>
        <v/>
      </c>
      <c r="E4" s="1"/>
      <c r="F4" s="1"/>
      <c r="G4" s="1"/>
      <c r="H4" s="1"/>
      <c r="I4" s="1"/>
      <c r="J4" s="1"/>
      <c r="K4" s="1"/>
      <c r="L4" s="1"/>
      <c r="M4" s="1"/>
      <c r="N4" s="1"/>
    </row>
    <row r="5" spans="1:25" x14ac:dyDescent="0.25">
      <c r="A5" s="11" t="s">
        <v>0</v>
      </c>
      <c r="B5" s="2" t="s">
        <v>12</v>
      </c>
      <c r="C5" s="2"/>
      <c r="D5" s="10">
        <v>4.7659829644078404E-4</v>
      </c>
      <c r="E5" s="10">
        <v>1.2183250853638286E-3</v>
      </c>
      <c r="F5" s="10">
        <v>7.4803149606299214E-4</v>
      </c>
      <c r="G5" s="10">
        <v>-1.7019714130185187E-5</v>
      </c>
      <c r="H5" s="10">
        <v>-9.9915792833629746E-4</v>
      </c>
      <c r="I5" s="10">
        <v>-1.9195980825804225E-3</v>
      </c>
      <c r="J5" s="10">
        <v>-2.7185745099290231E-3</v>
      </c>
      <c r="K5" s="10">
        <v>-3.2958747691049762E-3</v>
      </c>
      <c r="L5" s="10">
        <v>-3.6752875690823153E-3</v>
      </c>
      <c r="M5" s="10">
        <v>-3.8694021669104235E-3</v>
      </c>
      <c r="N5" s="10">
        <v>-3.9573330791744599E-3</v>
      </c>
    </row>
    <row r="6" spans="1:25" x14ac:dyDescent="0.25">
      <c r="A6" s="11" t="s">
        <v>1</v>
      </c>
      <c r="B6" s="2" t="s">
        <v>12</v>
      </c>
      <c r="C6" s="2"/>
      <c r="D6" s="10">
        <v>-5.7610997233102645E-3</v>
      </c>
      <c r="E6" s="10">
        <v>-7.6933161140951443E-4</v>
      </c>
      <c r="F6" s="10">
        <v>-8.6026289089188152E-4</v>
      </c>
      <c r="G6" s="10">
        <v>-1.3721534630972503E-3</v>
      </c>
      <c r="H6" s="10">
        <v>-2.3240365803721733E-3</v>
      </c>
      <c r="I6" s="10">
        <v>-3.2565788273579985E-3</v>
      </c>
      <c r="J6" s="10">
        <v>-4.0893994512390128E-3</v>
      </c>
      <c r="K6" s="10">
        <v>-4.6584000738728532E-3</v>
      </c>
      <c r="L6" s="10">
        <v>-4.9769843896328445E-3</v>
      </c>
      <c r="M6" s="10">
        <v>-5.0426989641848231E-3</v>
      </c>
      <c r="N6" s="10">
        <v>-4.9633575906596009E-3</v>
      </c>
    </row>
    <row r="7" spans="1:25" x14ac:dyDescent="0.25">
      <c r="A7" s="11" t="s">
        <v>2</v>
      </c>
      <c r="B7" s="2" t="s">
        <v>12</v>
      </c>
      <c r="C7" s="2"/>
      <c r="D7" s="10">
        <v>1.3680153335065618E-2</v>
      </c>
      <c r="E7" s="10">
        <v>8.903881627953289E-3</v>
      </c>
      <c r="F7" s="10">
        <v>7.5108809422580114E-3</v>
      </c>
      <c r="G7" s="10">
        <v>5.0442686945878674E-3</v>
      </c>
      <c r="H7" s="10">
        <v>3.3950938920348675E-3</v>
      </c>
      <c r="I7" s="10">
        <v>1.9359860824111632E-3</v>
      </c>
      <c r="J7" s="10">
        <v>1.1573344139593988E-3</v>
      </c>
      <c r="K7" s="10">
        <v>6.6444670654910575E-4</v>
      </c>
      <c r="L7" s="10">
        <v>5.5651899045713914E-4</v>
      </c>
      <c r="M7" s="10">
        <v>6.7769201859519963E-4</v>
      </c>
      <c r="N7" s="10">
        <v>9.9528177577532309E-4</v>
      </c>
    </row>
    <row r="8" spans="1:25" x14ac:dyDescent="0.25">
      <c r="A8" s="11" t="s">
        <v>3</v>
      </c>
      <c r="B8" s="2" t="s">
        <v>12</v>
      </c>
      <c r="C8" s="2"/>
      <c r="D8" s="10">
        <v>-5.8476378098041605E-4</v>
      </c>
      <c r="E8" s="10">
        <v>1.2824045013392108E-3</v>
      </c>
      <c r="F8" s="10">
        <v>4.4252243461092775E-4</v>
      </c>
      <c r="G8" s="10">
        <v>-3.884535720007202E-4</v>
      </c>
      <c r="H8" s="10">
        <v>-1.7855952527844083E-3</v>
      </c>
      <c r="I8" s="10">
        <v>-2.9055394215632226E-3</v>
      </c>
      <c r="J8" s="10">
        <v>-3.9043408005038594E-3</v>
      </c>
      <c r="K8" s="10">
        <v>-4.5319100541740638E-3</v>
      </c>
      <c r="L8" s="10">
        <v>-4.9491647206754089E-3</v>
      </c>
      <c r="M8" s="10">
        <v>-5.0878715713190198E-3</v>
      </c>
      <c r="N8" s="10">
        <v>-5.1008262351431542E-3</v>
      </c>
    </row>
    <row r="9" spans="1:25" x14ac:dyDescent="0.25">
      <c r="A9" s="11" t="s">
        <v>4</v>
      </c>
      <c r="B9" s="2" t="s">
        <v>12</v>
      </c>
      <c r="C9" s="2"/>
      <c r="D9" s="10">
        <v>1.5111563254152544E-2</v>
      </c>
      <c r="E9" s="10">
        <v>1.3538382719406064E-2</v>
      </c>
      <c r="F9" s="10">
        <v>1.27678159696357E-2</v>
      </c>
      <c r="G9" s="10">
        <v>1.1689633659139914E-2</v>
      </c>
      <c r="H9" s="10">
        <v>9.0921876859495192E-3</v>
      </c>
      <c r="I9" s="10">
        <v>6.4650042778386513E-3</v>
      </c>
      <c r="J9" s="10">
        <v>4.1544872723554022E-3</v>
      </c>
      <c r="K9" s="10">
        <v>2.6839400664513857E-3</v>
      </c>
      <c r="L9" s="10">
        <v>1.7605224011663461E-3</v>
      </c>
      <c r="M9" s="10">
        <v>1.4194614073368412E-3</v>
      </c>
      <c r="N9" s="10">
        <v>1.3372960043535945E-3</v>
      </c>
    </row>
    <row r="10" spans="1:25" x14ac:dyDescent="0.25">
      <c r="A10" s="386" t="s">
        <v>101</v>
      </c>
      <c r="B10" s="386"/>
      <c r="C10" s="386"/>
      <c r="D10" s="386"/>
      <c r="E10" s="386"/>
      <c r="F10" s="386"/>
      <c r="G10" s="386"/>
      <c r="H10" s="386"/>
      <c r="I10" s="386"/>
      <c r="J10" s="386"/>
      <c r="K10" s="386"/>
      <c r="L10" s="386"/>
      <c r="M10" s="386"/>
      <c r="N10" s="386"/>
    </row>
    <row r="11" spans="1:25" x14ac:dyDescent="0.25">
      <c r="A11" s="3" t="s">
        <v>444</v>
      </c>
      <c r="B11" s="3" t="s">
        <v>444</v>
      </c>
      <c r="C11" s="2"/>
      <c r="D11" s="10"/>
      <c r="E11" s="10"/>
      <c r="F11" s="10"/>
      <c r="G11" s="10"/>
      <c r="H11" s="10"/>
      <c r="I11" s="10"/>
      <c r="J11" s="10"/>
      <c r="K11" s="10"/>
      <c r="L11" s="10"/>
      <c r="M11" s="10"/>
      <c r="N11" s="10"/>
    </row>
    <row r="12" spans="1:25" x14ac:dyDescent="0.25">
      <c r="A12" s="182" t="s">
        <v>109</v>
      </c>
      <c r="B12" s="182" t="s">
        <v>109</v>
      </c>
      <c r="C12" s="2"/>
      <c r="D12" s="10"/>
      <c r="E12" s="10"/>
      <c r="F12" s="10"/>
      <c r="G12" s="10"/>
      <c r="H12" s="10"/>
      <c r="I12" s="10"/>
      <c r="J12" s="10"/>
      <c r="K12" s="10"/>
      <c r="L12" s="10"/>
      <c r="M12" s="10"/>
      <c r="N12" s="10"/>
    </row>
    <row r="13" spans="1:25" x14ac:dyDescent="0.25">
      <c r="A13" s="182">
        <v>4</v>
      </c>
      <c r="B13" s="2">
        <v>1</v>
      </c>
      <c r="C13" s="2"/>
      <c r="D13" s="10"/>
      <c r="E13" s="10"/>
      <c r="F13" s="10"/>
      <c r="G13" s="10"/>
      <c r="H13" s="10"/>
      <c r="I13" s="10"/>
      <c r="J13" s="10"/>
      <c r="K13" s="10"/>
      <c r="L13" s="10"/>
      <c r="M13" s="10"/>
      <c r="N13" s="10"/>
    </row>
    <row r="14" spans="1:25" x14ac:dyDescent="0.25">
      <c r="A14" s="182">
        <v>5</v>
      </c>
      <c r="B14" s="2">
        <v>2</v>
      </c>
      <c r="C14" s="2"/>
      <c r="D14" s="10"/>
      <c r="E14" s="10"/>
      <c r="F14" s="10"/>
      <c r="G14" s="10"/>
      <c r="H14" s="10"/>
      <c r="I14" s="10"/>
      <c r="J14" s="10"/>
      <c r="K14" s="10"/>
      <c r="L14" s="10"/>
      <c r="M14" s="10"/>
      <c r="N14" s="10"/>
    </row>
    <row r="15" spans="1:25" x14ac:dyDescent="0.25">
      <c r="A15" s="182">
        <v>6</v>
      </c>
      <c r="B15" s="2">
        <v>3</v>
      </c>
      <c r="C15" s="2"/>
      <c r="D15" s="10"/>
      <c r="E15" s="10"/>
      <c r="F15" s="10"/>
      <c r="G15" s="10"/>
      <c r="H15" s="10"/>
      <c r="I15" s="10"/>
      <c r="J15" s="10"/>
      <c r="K15" s="10"/>
      <c r="L15" s="10"/>
      <c r="M15" s="10"/>
      <c r="N15" s="10"/>
    </row>
    <row r="16" spans="1:25" x14ac:dyDescent="0.25">
      <c r="A16" s="182">
        <v>7</v>
      </c>
      <c r="B16" s="2">
        <v>4</v>
      </c>
      <c r="C16" s="2"/>
      <c r="D16" s="10"/>
      <c r="E16" s="10"/>
      <c r="F16" s="10"/>
      <c r="G16" s="10"/>
      <c r="H16" s="10"/>
      <c r="I16" s="10"/>
      <c r="J16" s="10"/>
      <c r="K16" s="10"/>
      <c r="L16" s="10"/>
      <c r="M16" s="10"/>
      <c r="N16" s="10"/>
    </row>
    <row r="17" spans="1:14" x14ac:dyDescent="0.25">
      <c r="A17" s="182">
        <v>8</v>
      </c>
      <c r="B17" s="2">
        <v>5</v>
      </c>
      <c r="C17" s="2"/>
      <c r="D17" s="10"/>
      <c r="E17" s="10"/>
      <c r="F17" s="10"/>
      <c r="G17" s="10"/>
      <c r="H17" s="10"/>
      <c r="I17" s="10"/>
      <c r="J17" s="10"/>
      <c r="K17" s="10"/>
      <c r="L17" s="10"/>
      <c r="M17" s="10"/>
      <c r="N17" s="10"/>
    </row>
    <row r="18" spans="1:14" x14ac:dyDescent="0.25">
      <c r="A18" s="182">
        <v>9</v>
      </c>
      <c r="B18" s="2">
        <v>6</v>
      </c>
      <c r="C18" s="2"/>
      <c r="D18" s="10"/>
      <c r="E18" s="10"/>
      <c r="F18" s="10"/>
      <c r="G18" s="10"/>
      <c r="H18" s="10"/>
      <c r="I18" s="10"/>
      <c r="J18" s="10"/>
      <c r="K18" s="10"/>
      <c r="L18" s="10"/>
      <c r="M18" s="10"/>
      <c r="N18" s="10"/>
    </row>
    <row r="19" spans="1:14" x14ac:dyDescent="0.25">
      <c r="A19" s="182">
        <v>10</v>
      </c>
      <c r="B19" s="2">
        <v>7</v>
      </c>
      <c r="C19" s="2"/>
      <c r="D19" s="10"/>
      <c r="E19" s="10"/>
      <c r="F19" s="10"/>
      <c r="G19" s="10"/>
      <c r="H19" s="10"/>
      <c r="I19" s="10"/>
      <c r="J19" s="10"/>
      <c r="K19" s="10"/>
      <c r="L19" s="10"/>
      <c r="M19" s="10"/>
      <c r="N19" s="10"/>
    </row>
    <row r="20" spans="1:14" x14ac:dyDescent="0.25">
      <c r="A20" s="182">
        <v>11</v>
      </c>
      <c r="B20" s="2">
        <v>8</v>
      </c>
      <c r="C20" s="2"/>
      <c r="D20" s="10"/>
      <c r="E20" s="10"/>
      <c r="F20" s="10"/>
      <c r="G20" s="10"/>
      <c r="H20" s="10"/>
      <c r="I20" s="10"/>
      <c r="J20" s="10"/>
      <c r="K20" s="10"/>
      <c r="L20" s="10"/>
      <c r="M20" s="10"/>
      <c r="N20" s="10"/>
    </row>
    <row r="21" spans="1:14" x14ac:dyDescent="0.25">
      <c r="A21" s="182">
        <v>12</v>
      </c>
      <c r="B21" s="2">
        <v>9</v>
      </c>
      <c r="C21" s="2"/>
      <c r="D21" s="10"/>
      <c r="E21" s="10"/>
      <c r="F21" s="10"/>
      <c r="G21" s="10"/>
      <c r="H21" s="10"/>
      <c r="I21" s="10"/>
      <c r="J21" s="10"/>
      <c r="K21" s="10"/>
      <c r="L21" s="10"/>
      <c r="M21" s="10"/>
      <c r="N21" s="10"/>
    </row>
    <row r="22" spans="1:14" x14ac:dyDescent="0.25">
      <c r="A22" s="182"/>
      <c r="B22" s="2">
        <v>10</v>
      </c>
      <c r="C22" s="2"/>
      <c r="D22" s="10"/>
      <c r="E22" s="10"/>
      <c r="F22" s="10"/>
      <c r="G22" s="10"/>
      <c r="H22" s="10"/>
      <c r="I22" s="10"/>
      <c r="J22" s="10"/>
      <c r="K22" s="10"/>
      <c r="L22" s="10"/>
      <c r="M22" s="10"/>
      <c r="N22" s="10"/>
    </row>
    <row r="23" spans="1:14" x14ac:dyDescent="0.25">
      <c r="A23" s="182"/>
      <c r="B23" s="2">
        <v>11</v>
      </c>
      <c r="C23" s="2"/>
      <c r="D23" s="10"/>
      <c r="E23" s="10"/>
      <c r="F23" s="10"/>
      <c r="G23" s="10"/>
      <c r="H23" s="10"/>
      <c r="I23" s="10"/>
      <c r="J23" s="10"/>
      <c r="K23" s="10"/>
      <c r="L23" s="10"/>
      <c r="M23" s="10"/>
      <c r="N23" s="10"/>
    </row>
    <row r="24" spans="1:14" x14ac:dyDescent="0.25">
      <c r="A24" s="182"/>
      <c r="B24" s="2">
        <v>12</v>
      </c>
      <c r="C24" s="2"/>
      <c r="D24" s="10"/>
      <c r="E24" s="10"/>
      <c r="F24" s="10"/>
      <c r="G24" s="10"/>
      <c r="H24" s="10"/>
      <c r="I24" s="10"/>
      <c r="J24" s="10"/>
      <c r="K24" s="10"/>
      <c r="L24" s="10"/>
      <c r="M24" s="10"/>
      <c r="N24" s="10"/>
    </row>
    <row r="25" spans="1:14" x14ac:dyDescent="0.25">
      <c r="A25" s="386" t="s">
        <v>69</v>
      </c>
      <c r="B25" s="386"/>
      <c r="C25" s="386"/>
      <c r="D25" s="386"/>
      <c r="E25" s="386"/>
      <c r="F25" s="386"/>
      <c r="G25" s="386"/>
      <c r="H25" s="386"/>
      <c r="I25" s="386"/>
      <c r="J25" s="386"/>
      <c r="K25" s="386"/>
      <c r="L25" s="386"/>
      <c r="M25" s="386"/>
      <c r="N25" s="386"/>
    </row>
    <row r="26" spans="1:14" x14ac:dyDescent="0.25">
      <c r="A26" s="223" t="s">
        <v>594</v>
      </c>
      <c r="B26" s="220"/>
      <c r="C26" s="220"/>
      <c r="D26" s="220"/>
      <c r="E26" s="220"/>
      <c r="F26" s="220"/>
      <c r="G26" s="220"/>
      <c r="H26" s="220"/>
      <c r="I26" s="220"/>
      <c r="J26" s="220"/>
      <c r="K26" s="220"/>
      <c r="L26" s="220"/>
      <c r="M26" s="220"/>
      <c r="N26" s="220"/>
    </row>
    <row r="27" spans="1:14" ht="14.25" customHeight="1" x14ac:dyDescent="0.25">
      <c r="A27" s="8" t="s">
        <v>63</v>
      </c>
      <c r="B27" s="8"/>
      <c r="C27" s="2"/>
      <c r="D27" s="2"/>
      <c r="E27" s="2"/>
      <c r="F27" s="2"/>
      <c r="G27" s="2"/>
      <c r="H27" s="2"/>
      <c r="I27" s="2"/>
      <c r="J27" s="2"/>
      <c r="K27" s="2"/>
      <c r="L27" s="2"/>
      <c r="M27" s="2"/>
      <c r="N27" s="2"/>
    </row>
    <row r="28" spans="1:14" x14ac:dyDescent="0.25">
      <c r="A28" s="12" t="s">
        <v>36</v>
      </c>
      <c r="B28" s="3" t="s">
        <v>12</v>
      </c>
      <c r="C28" s="2"/>
      <c r="D28" s="2"/>
      <c r="E28" s="13">
        <v>0.25525704110759734</v>
      </c>
      <c r="F28" s="13">
        <v>0.29817904170846049</v>
      </c>
      <c r="G28" s="13">
        <v>0.31191041669404418</v>
      </c>
      <c r="H28" s="13">
        <v>0.32380466816882175</v>
      </c>
      <c r="I28" s="13">
        <v>0.32147771547235537</v>
      </c>
      <c r="J28" s="13">
        <v>0.32386656905254829</v>
      </c>
      <c r="K28" s="13">
        <v>0.32239905579371875</v>
      </c>
      <c r="L28" s="13">
        <v>0.32523301756009976</v>
      </c>
      <c r="M28" s="13">
        <v>0.32878825701027342</v>
      </c>
      <c r="N28" s="13">
        <v>0.33639359317748396</v>
      </c>
    </row>
    <row r="29" spans="1:14" x14ac:dyDescent="0.25">
      <c r="A29" s="12" t="s">
        <v>37</v>
      </c>
      <c r="B29" s="3" t="s">
        <v>12</v>
      </c>
      <c r="C29" s="2"/>
      <c r="D29" s="2"/>
      <c r="E29" s="13">
        <v>0.25525704110759734</v>
      </c>
      <c r="F29" s="13">
        <v>0.29817904170846049</v>
      </c>
      <c r="G29" s="13">
        <v>0.31191041669404418</v>
      </c>
      <c r="H29" s="13">
        <v>0.32380466816882175</v>
      </c>
      <c r="I29" s="13">
        <v>0.32147771547235537</v>
      </c>
      <c r="J29" s="13">
        <v>0.32386656905254829</v>
      </c>
      <c r="K29" s="13">
        <v>0.32239905579371875</v>
      </c>
      <c r="L29" s="13">
        <v>0.32523301756009976</v>
      </c>
      <c r="M29" s="13">
        <v>0.32878825701027342</v>
      </c>
      <c r="N29" s="13">
        <v>0.33639359317748396</v>
      </c>
    </row>
    <row r="30" spans="1:14" x14ac:dyDescent="0.25">
      <c r="A30" s="12" t="s">
        <v>38</v>
      </c>
      <c r="B30" s="3" t="s">
        <v>12</v>
      </c>
      <c r="C30" s="2"/>
      <c r="D30" s="2"/>
      <c r="E30" s="13">
        <v>0.26</v>
      </c>
      <c r="F30" s="13">
        <v>0.27888888888888891</v>
      </c>
      <c r="G30" s="13">
        <v>0.29777777777777781</v>
      </c>
      <c r="H30" s="13">
        <v>0.31666666666666671</v>
      </c>
      <c r="I30" s="13">
        <v>0.33555555555555561</v>
      </c>
      <c r="J30" s="13">
        <v>0.35444444444444451</v>
      </c>
      <c r="K30" s="13">
        <v>0.37333333333333341</v>
      </c>
      <c r="L30" s="13">
        <v>0.39222222222222231</v>
      </c>
      <c r="M30" s="13">
        <v>0.4111111111111112</v>
      </c>
      <c r="N30" s="13">
        <v>0.43</v>
      </c>
    </row>
    <row r="31" spans="1:14" x14ac:dyDescent="0.25">
      <c r="A31" s="12" t="s">
        <v>39</v>
      </c>
      <c r="B31" s="3" t="s">
        <v>12</v>
      </c>
      <c r="C31" s="2"/>
      <c r="D31" s="2"/>
      <c r="E31" s="13">
        <v>0.26</v>
      </c>
      <c r="F31" s="13">
        <v>0.27888888888888891</v>
      </c>
      <c r="G31" s="13">
        <v>0.29777777777777781</v>
      </c>
      <c r="H31" s="13">
        <v>0.31666666666666671</v>
      </c>
      <c r="I31" s="13">
        <v>0.33555555555555561</v>
      </c>
      <c r="J31" s="13">
        <v>0.35444444444444451</v>
      </c>
      <c r="K31" s="13">
        <v>0.37333333333333341</v>
      </c>
      <c r="L31" s="13">
        <v>0.39222222222222231</v>
      </c>
      <c r="M31" s="13">
        <v>0.4111111111111112</v>
      </c>
      <c r="N31" s="13">
        <v>0.43</v>
      </c>
    </row>
    <row r="32" spans="1:14" x14ac:dyDescent="0.25">
      <c r="A32" s="12" t="s">
        <v>30</v>
      </c>
      <c r="B32" s="3"/>
      <c r="C32" s="2"/>
      <c r="D32" s="2"/>
      <c r="E32" s="13">
        <v>0.5</v>
      </c>
      <c r="F32" s="13">
        <v>0.5</v>
      </c>
      <c r="G32" s="13">
        <v>0.5</v>
      </c>
      <c r="H32" s="13">
        <v>0.5</v>
      </c>
      <c r="I32" s="13">
        <v>0.5</v>
      </c>
      <c r="J32" s="13">
        <v>0.5</v>
      </c>
      <c r="K32" s="13">
        <v>0.5</v>
      </c>
      <c r="L32" s="13">
        <v>0.5</v>
      </c>
      <c r="M32" s="13">
        <v>0.5</v>
      </c>
      <c r="N32" s="13">
        <v>0.5</v>
      </c>
    </row>
    <row r="33" spans="1:14" x14ac:dyDescent="0.25">
      <c r="A33" s="8" t="s">
        <v>64</v>
      </c>
      <c r="B33" s="3"/>
      <c r="C33" s="2"/>
      <c r="D33" s="2"/>
      <c r="E33" s="13"/>
      <c r="F33" s="13"/>
      <c r="G33" s="13"/>
      <c r="H33" s="13"/>
      <c r="I33" s="13"/>
      <c r="J33" s="13"/>
      <c r="K33" s="13"/>
      <c r="L33" s="13"/>
      <c r="M33" s="13"/>
      <c r="N33" s="13"/>
    </row>
    <row r="34" spans="1:14" x14ac:dyDescent="0.25">
      <c r="A34" s="12" t="s">
        <v>28</v>
      </c>
      <c r="B34" s="2" t="s">
        <v>12</v>
      </c>
      <c r="C34" s="2"/>
      <c r="D34" s="2"/>
      <c r="E34" s="13">
        <v>0.04</v>
      </c>
      <c r="F34" s="13">
        <v>5.4444444444444448E-2</v>
      </c>
      <c r="G34" s="13">
        <v>6.8888888888888888E-2</v>
      </c>
      <c r="H34" s="13">
        <v>8.3333333333333329E-2</v>
      </c>
      <c r="I34" s="13">
        <v>9.7777777777777769E-2</v>
      </c>
      <c r="J34" s="13">
        <v>0.11222222222222221</v>
      </c>
      <c r="K34" s="13">
        <v>0.12666666666666665</v>
      </c>
      <c r="L34" s="13">
        <v>0.1411111111111111</v>
      </c>
      <c r="M34" s="13">
        <v>0.15555555555555556</v>
      </c>
      <c r="N34" s="13">
        <v>0.17</v>
      </c>
    </row>
    <row r="35" spans="1:14" x14ac:dyDescent="0.25">
      <c r="A35" s="12" t="s">
        <v>29</v>
      </c>
      <c r="B35" s="2" t="s">
        <v>12</v>
      </c>
      <c r="C35" s="2"/>
      <c r="D35" s="2"/>
      <c r="E35" s="13">
        <v>0.05</v>
      </c>
      <c r="F35" s="13">
        <v>8.111111111111112E-2</v>
      </c>
      <c r="G35" s="13">
        <v>0.11222222222222224</v>
      </c>
      <c r="H35" s="13">
        <v>0.14333333333333334</v>
      </c>
      <c r="I35" s="13">
        <v>0.17444444444444446</v>
      </c>
      <c r="J35" s="13">
        <v>0.20555555555555557</v>
      </c>
      <c r="K35" s="13">
        <v>0.23666666666666669</v>
      </c>
      <c r="L35" s="13">
        <v>0.26777777777777778</v>
      </c>
      <c r="M35" s="13">
        <v>0.29888888888888887</v>
      </c>
      <c r="N35" s="13">
        <v>0.33</v>
      </c>
    </row>
    <row r="36" spans="1:14" x14ac:dyDescent="0.25">
      <c r="A36" s="12" t="s">
        <v>30</v>
      </c>
      <c r="B36" s="221"/>
      <c r="C36" s="221"/>
      <c r="D36" s="221"/>
      <c r="E36" s="13">
        <v>0.5</v>
      </c>
      <c r="F36" s="13">
        <v>0.5</v>
      </c>
      <c r="G36" s="13">
        <v>0.5</v>
      </c>
      <c r="H36" s="13">
        <v>0.5</v>
      </c>
      <c r="I36" s="13">
        <v>0.5</v>
      </c>
      <c r="J36" s="13">
        <v>0.5</v>
      </c>
      <c r="K36" s="13">
        <v>0.5</v>
      </c>
      <c r="L36" s="13">
        <v>0.5</v>
      </c>
      <c r="M36" s="13">
        <v>0.5</v>
      </c>
      <c r="N36" s="13">
        <v>0.5</v>
      </c>
    </row>
    <row r="37" spans="1:14" x14ac:dyDescent="0.25">
      <c r="A37" s="223" t="s">
        <v>595</v>
      </c>
      <c r="B37" s="221"/>
      <c r="C37" s="221"/>
      <c r="D37" s="221"/>
      <c r="E37" s="222"/>
      <c r="F37" s="222"/>
      <c r="G37" s="222"/>
      <c r="H37" s="222"/>
      <c r="I37" s="222"/>
      <c r="J37" s="222"/>
      <c r="K37" s="222"/>
      <c r="L37" s="222"/>
      <c r="M37" s="222"/>
      <c r="N37" s="222"/>
    </row>
    <row r="38" spans="1:14" x14ac:dyDescent="0.25">
      <c r="A38" s="8" t="s">
        <v>63</v>
      </c>
      <c r="B38" s="8"/>
      <c r="C38" s="2"/>
      <c r="D38" s="2"/>
      <c r="E38" s="2"/>
      <c r="F38" s="2"/>
      <c r="G38" s="2"/>
      <c r="H38" s="2"/>
      <c r="I38" s="2"/>
      <c r="J38" s="2"/>
      <c r="K38" s="2"/>
      <c r="L38" s="2"/>
      <c r="M38" s="2"/>
      <c r="N38" s="2"/>
    </row>
    <row r="39" spans="1:14" x14ac:dyDescent="0.25">
      <c r="A39" s="12" t="s">
        <v>36</v>
      </c>
      <c r="B39" s="3" t="s">
        <v>12</v>
      </c>
      <c r="C39" s="2"/>
      <c r="D39" s="2"/>
      <c r="E39" s="13">
        <v>0.38</v>
      </c>
      <c r="F39" s="13">
        <v>0.40111111111111108</v>
      </c>
      <c r="G39" s="13">
        <v>0.42222222222222217</v>
      </c>
      <c r="H39" s="13">
        <v>0.44333333333333325</v>
      </c>
      <c r="I39" s="13">
        <v>0.46444444444444433</v>
      </c>
      <c r="J39" s="13">
        <v>0.48555555555555541</v>
      </c>
      <c r="K39" s="13">
        <v>0.50666666666666649</v>
      </c>
      <c r="L39" s="13">
        <v>0.52777777777777757</v>
      </c>
      <c r="M39" s="13">
        <v>0.54888888888888865</v>
      </c>
      <c r="N39" s="13">
        <v>0.56999999999999995</v>
      </c>
    </row>
    <row r="40" spans="1:14" x14ac:dyDescent="0.25">
      <c r="A40" s="12" t="s">
        <v>37</v>
      </c>
      <c r="B40" s="3" t="s">
        <v>12</v>
      </c>
      <c r="C40" s="2"/>
      <c r="D40" s="2"/>
      <c r="E40" s="13">
        <v>0.38</v>
      </c>
      <c r="F40" s="13">
        <v>0.40111111111111108</v>
      </c>
      <c r="G40" s="13">
        <v>0.42222222222222217</v>
      </c>
      <c r="H40" s="13">
        <v>0.44333333333333325</v>
      </c>
      <c r="I40" s="13">
        <v>0.46444444444444433</v>
      </c>
      <c r="J40" s="13">
        <v>0.48555555555555541</v>
      </c>
      <c r="K40" s="13">
        <v>0.50666666666666649</v>
      </c>
      <c r="L40" s="13">
        <v>0.52777777777777757</v>
      </c>
      <c r="M40" s="13">
        <v>0.54888888888888865</v>
      </c>
      <c r="N40" s="13">
        <v>0.56999999999999995</v>
      </c>
    </row>
    <row r="41" spans="1:14" x14ac:dyDescent="0.25">
      <c r="A41" s="12" t="s">
        <v>38</v>
      </c>
      <c r="B41" s="3" t="s">
        <v>12</v>
      </c>
      <c r="C41" s="2"/>
      <c r="D41" s="2"/>
      <c r="E41" s="13">
        <v>0.56000000000000005</v>
      </c>
      <c r="F41" s="13">
        <v>0.58111111111111113</v>
      </c>
      <c r="G41" s="13">
        <v>0.60222222222222221</v>
      </c>
      <c r="H41" s="13">
        <v>0.62333333333333329</v>
      </c>
      <c r="I41" s="13">
        <v>0.64444444444444438</v>
      </c>
      <c r="J41" s="13">
        <v>0.66555555555555546</v>
      </c>
      <c r="K41" s="13">
        <v>0.68666666666666654</v>
      </c>
      <c r="L41" s="13">
        <v>0.70777777777777762</v>
      </c>
      <c r="M41" s="13">
        <v>0.7288888888888887</v>
      </c>
      <c r="N41" s="13">
        <v>0.75</v>
      </c>
    </row>
    <row r="42" spans="1:14" x14ac:dyDescent="0.25">
      <c r="A42" s="12" t="s">
        <v>39</v>
      </c>
      <c r="B42" s="3" t="s">
        <v>12</v>
      </c>
      <c r="C42" s="2"/>
      <c r="D42" s="2"/>
      <c r="E42" s="13">
        <v>0.56000000000000005</v>
      </c>
      <c r="F42" s="13">
        <v>0.58111111111111113</v>
      </c>
      <c r="G42" s="13">
        <v>0.60222222222222221</v>
      </c>
      <c r="H42" s="13">
        <v>0.62333333333333329</v>
      </c>
      <c r="I42" s="13">
        <v>0.64444444444444438</v>
      </c>
      <c r="J42" s="13">
        <v>0.66555555555555546</v>
      </c>
      <c r="K42" s="13">
        <v>0.68666666666666654</v>
      </c>
      <c r="L42" s="13">
        <v>0.70777777777777762</v>
      </c>
      <c r="M42" s="13">
        <v>0.7288888888888887</v>
      </c>
      <c r="N42" s="13">
        <v>0.75</v>
      </c>
    </row>
    <row r="43" spans="1:14" x14ac:dyDescent="0.25">
      <c r="A43" s="12" t="s">
        <v>30</v>
      </c>
      <c r="B43" s="3"/>
      <c r="C43" s="2"/>
      <c r="D43" s="2"/>
      <c r="E43" s="13">
        <v>0.7</v>
      </c>
      <c r="F43" s="13">
        <v>0.7</v>
      </c>
      <c r="G43" s="13">
        <v>0.7</v>
      </c>
      <c r="H43" s="13">
        <v>0.7</v>
      </c>
      <c r="I43" s="13">
        <v>0.7</v>
      </c>
      <c r="J43" s="13">
        <v>0.7</v>
      </c>
      <c r="K43" s="13">
        <v>0.7</v>
      </c>
      <c r="L43" s="13">
        <v>0.7</v>
      </c>
      <c r="M43" s="13">
        <v>0.7</v>
      </c>
      <c r="N43" s="13">
        <v>0.7</v>
      </c>
    </row>
    <row r="44" spans="1:14" x14ac:dyDescent="0.25">
      <c r="A44" s="8" t="s">
        <v>64</v>
      </c>
      <c r="B44" s="3"/>
      <c r="C44" s="2"/>
      <c r="D44" s="2"/>
      <c r="E44" s="13"/>
      <c r="F44" s="13"/>
      <c r="G44" s="13"/>
      <c r="H44" s="13"/>
      <c r="I44" s="13"/>
      <c r="J44" s="13"/>
      <c r="K44" s="13"/>
      <c r="L44" s="13"/>
      <c r="M44" s="13"/>
      <c r="N44" s="13"/>
    </row>
    <row r="45" spans="1:14" x14ac:dyDescent="0.25">
      <c r="A45" s="12" t="s">
        <v>28</v>
      </c>
      <c r="B45" s="2" t="s">
        <v>12</v>
      </c>
      <c r="C45" s="2"/>
      <c r="D45" s="2"/>
      <c r="E45" s="13">
        <v>0.18</v>
      </c>
      <c r="F45" s="13">
        <v>0.20777777777777778</v>
      </c>
      <c r="G45" s="13">
        <v>0.23555555555555557</v>
      </c>
      <c r="H45" s="13">
        <v>0.26333333333333336</v>
      </c>
      <c r="I45" s="13">
        <v>0.29111111111111115</v>
      </c>
      <c r="J45" s="13">
        <v>0.31888888888888894</v>
      </c>
      <c r="K45" s="13">
        <v>0.34666666666666673</v>
      </c>
      <c r="L45" s="13">
        <v>0.37444444444444452</v>
      </c>
      <c r="M45" s="13">
        <v>0.40222222222222231</v>
      </c>
      <c r="N45" s="13">
        <v>0.43</v>
      </c>
    </row>
    <row r="46" spans="1:14" x14ac:dyDescent="0.25">
      <c r="A46" s="12" t="s">
        <v>29</v>
      </c>
      <c r="B46" s="2" t="s">
        <v>12</v>
      </c>
      <c r="C46" s="2"/>
      <c r="D46" s="2"/>
      <c r="E46" s="13">
        <v>0.2</v>
      </c>
      <c r="F46" s="13">
        <v>0.24777777777777779</v>
      </c>
      <c r="G46" s="13">
        <v>0.29555555555555557</v>
      </c>
      <c r="H46" s="13">
        <v>0.34333333333333338</v>
      </c>
      <c r="I46" s="13">
        <v>0.39111111111111119</v>
      </c>
      <c r="J46" s="13">
        <v>0.43888888888888899</v>
      </c>
      <c r="K46" s="13">
        <v>0.4866666666666668</v>
      </c>
      <c r="L46" s="13">
        <v>0.53444444444444461</v>
      </c>
      <c r="M46" s="13">
        <v>0.58222222222222242</v>
      </c>
      <c r="N46" s="13">
        <v>0.63</v>
      </c>
    </row>
    <row r="47" spans="1:14" x14ac:dyDescent="0.25">
      <c r="A47" s="12" t="s">
        <v>30</v>
      </c>
      <c r="B47" s="221"/>
      <c r="C47" s="221"/>
      <c r="D47" s="221"/>
      <c r="E47" s="13">
        <v>0.7</v>
      </c>
      <c r="F47" s="13">
        <v>0.7</v>
      </c>
      <c r="G47" s="13">
        <v>0.7</v>
      </c>
      <c r="H47" s="13">
        <v>0.7</v>
      </c>
      <c r="I47" s="13">
        <v>0.7</v>
      </c>
      <c r="J47" s="13">
        <v>0.7</v>
      </c>
      <c r="K47" s="13">
        <v>0.7</v>
      </c>
      <c r="L47" s="13">
        <v>0.7</v>
      </c>
      <c r="M47" s="13">
        <v>0.7</v>
      </c>
      <c r="N47" s="13">
        <v>0.7</v>
      </c>
    </row>
    <row r="48" spans="1:14" x14ac:dyDescent="0.25">
      <c r="A48" s="15" t="s">
        <v>5</v>
      </c>
    </row>
    <row r="49" spans="1:6" x14ac:dyDescent="0.25">
      <c r="A49" s="1" t="s">
        <v>193</v>
      </c>
      <c r="E49" s="219"/>
    </row>
    <row r="50" spans="1:6" x14ac:dyDescent="0.25">
      <c r="A50" s="16" t="s">
        <v>109</v>
      </c>
      <c r="F50" s="219"/>
    </row>
    <row r="51" spans="1:6" x14ac:dyDescent="0.25">
      <c r="A51" s="14" t="s">
        <v>0</v>
      </c>
      <c r="F51" s="219"/>
    </row>
    <row r="52" spans="1:6" x14ac:dyDescent="0.25">
      <c r="A52" s="14" t="s">
        <v>1</v>
      </c>
      <c r="F52" s="219"/>
    </row>
    <row r="53" spans="1:6" x14ac:dyDescent="0.25">
      <c r="A53" s="14" t="s">
        <v>2</v>
      </c>
      <c r="F53" s="219"/>
    </row>
    <row r="54" spans="1:6" x14ac:dyDescent="0.25">
      <c r="A54" s="14" t="s">
        <v>3</v>
      </c>
      <c r="F54" s="219"/>
    </row>
    <row r="55" spans="1:6" x14ac:dyDescent="0.25">
      <c r="A55" s="14" t="s">
        <v>4</v>
      </c>
    </row>
    <row r="56" spans="1:6" x14ac:dyDescent="0.25">
      <c r="A56" s="17" t="s">
        <v>83</v>
      </c>
    </row>
    <row r="57" spans="1:6" x14ac:dyDescent="0.25">
      <c r="A57" s="18" t="s">
        <v>110</v>
      </c>
      <c r="B57" s="18" t="s">
        <v>111</v>
      </c>
    </row>
    <row r="58" spans="1:6" x14ac:dyDescent="0.25">
      <c r="A58" s="18" t="s">
        <v>109</v>
      </c>
      <c r="B58" s="18" t="s">
        <v>109</v>
      </c>
    </row>
    <row r="59" spans="1:6" x14ac:dyDescent="0.25">
      <c r="A59" s="13">
        <v>0.2</v>
      </c>
      <c r="B59" s="13">
        <v>0.05</v>
      </c>
    </row>
    <row r="60" spans="1:6" x14ac:dyDescent="0.25">
      <c r="A60" s="13">
        <v>0.21</v>
      </c>
      <c r="B60" s="13">
        <v>0.06</v>
      </c>
    </row>
    <row r="61" spans="1:6" x14ac:dyDescent="0.25">
      <c r="A61" s="13">
        <v>0.22</v>
      </c>
      <c r="B61" s="13">
        <v>7.0000000000000007E-2</v>
      </c>
    </row>
    <row r="62" spans="1:6" x14ac:dyDescent="0.25">
      <c r="A62" s="13">
        <v>0.23</v>
      </c>
      <c r="B62" s="13">
        <v>0.08</v>
      </c>
    </row>
    <row r="63" spans="1:6" x14ac:dyDescent="0.25">
      <c r="A63" s="13">
        <v>0.24</v>
      </c>
      <c r="B63" s="13">
        <v>0.09</v>
      </c>
    </row>
    <row r="64" spans="1:6" x14ac:dyDescent="0.25">
      <c r="A64" s="13">
        <v>0.25</v>
      </c>
      <c r="B64" s="13">
        <v>0.1</v>
      </c>
    </row>
    <row r="65" spans="1:2" x14ac:dyDescent="0.25">
      <c r="A65" s="13">
        <v>0.26</v>
      </c>
      <c r="B65" s="13">
        <v>0.11</v>
      </c>
    </row>
    <row r="66" spans="1:2" x14ac:dyDescent="0.25">
      <c r="A66" s="13">
        <v>0.27</v>
      </c>
      <c r="B66" s="13">
        <v>0.12</v>
      </c>
    </row>
    <row r="67" spans="1:2" x14ac:dyDescent="0.25">
      <c r="A67" s="13">
        <v>0.28000000000000003</v>
      </c>
      <c r="B67" s="13">
        <v>0.13</v>
      </c>
    </row>
    <row r="68" spans="1:2" x14ac:dyDescent="0.25">
      <c r="A68" s="13">
        <v>0.28999999999999998</v>
      </c>
      <c r="B68" s="13">
        <v>0.14000000000000001</v>
      </c>
    </row>
    <row r="69" spans="1:2" x14ac:dyDescent="0.25">
      <c r="A69" s="13">
        <v>0.3</v>
      </c>
      <c r="B69" s="13">
        <v>0.15</v>
      </c>
    </row>
    <row r="70" spans="1:2" x14ac:dyDescent="0.25">
      <c r="A70" s="13">
        <v>0.31</v>
      </c>
      <c r="B70" s="13">
        <v>0.16</v>
      </c>
    </row>
    <row r="71" spans="1:2" x14ac:dyDescent="0.25">
      <c r="A71" s="13">
        <v>0.32</v>
      </c>
      <c r="B71" s="13">
        <v>0.17</v>
      </c>
    </row>
    <row r="72" spans="1:2" x14ac:dyDescent="0.25">
      <c r="A72" s="13">
        <v>0.33</v>
      </c>
      <c r="B72" s="13">
        <v>0.18</v>
      </c>
    </row>
    <row r="73" spans="1:2" x14ac:dyDescent="0.25">
      <c r="A73" s="13">
        <v>0.34</v>
      </c>
      <c r="B73" s="13">
        <v>0.19</v>
      </c>
    </row>
    <row r="74" spans="1:2" x14ac:dyDescent="0.25">
      <c r="A74" s="13">
        <v>0.35</v>
      </c>
      <c r="B74" s="13">
        <v>0.2</v>
      </c>
    </row>
    <row r="75" spans="1:2" x14ac:dyDescent="0.25">
      <c r="A75" s="13">
        <v>0.36</v>
      </c>
      <c r="B75" s="13">
        <v>0.21</v>
      </c>
    </row>
    <row r="76" spans="1:2" x14ac:dyDescent="0.25">
      <c r="A76" s="13">
        <v>0.37</v>
      </c>
      <c r="B76" s="13">
        <v>0.22</v>
      </c>
    </row>
    <row r="77" spans="1:2" x14ac:dyDescent="0.25">
      <c r="A77" s="13">
        <v>0.38</v>
      </c>
      <c r="B77" s="13">
        <v>0.23</v>
      </c>
    </row>
    <row r="78" spans="1:2" x14ac:dyDescent="0.25">
      <c r="A78" s="13">
        <v>0.39</v>
      </c>
      <c r="B78" s="13">
        <v>0.24</v>
      </c>
    </row>
    <row r="79" spans="1:2" x14ac:dyDescent="0.25">
      <c r="A79" s="13">
        <v>0.4</v>
      </c>
      <c r="B79" s="13">
        <v>0.25</v>
      </c>
    </row>
    <row r="80" spans="1:2" x14ac:dyDescent="0.25">
      <c r="A80" s="13">
        <v>0.41</v>
      </c>
      <c r="B80" s="13">
        <v>0.26</v>
      </c>
    </row>
    <row r="81" spans="1:2" x14ac:dyDescent="0.25">
      <c r="A81" s="13">
        <v>0.42</v>
      </c>
      <c r="B81" s="13">
        <v>0.27</v>
      </c>
    </row>
    <row r="82" spans="1:2" x14ac:dyDescent="0.25">
      <c r="A82" s="13">
        <v>0.43</v>
      </c>
      <c r="B82" s="13">
        <v>0.28000000000000003</v>
      </c>
    </row>
    <row r="83" spans="1:2" x14ac:dyDescent="0.25">
      <c r="A83" s="13">
        <v>0.44</v>
      </c>
      <c r="B83" s="13">
        <v>0.28999999999999998</v>
      </c>
    </row>
    <row r="84" spans="1:2" x14ac:dyDescent="0.25">
      <c r="A84" s="13">
        <v>0.45</v>
      </c>
      <c r="B84" s="13">
        <v>0.3</v>
      </c>
    </row>
    <row r="85" spans="1:2" x14ac:dyDescent="0.25">
      <c r="A85" s="13">
        <v>0.46</v>
      </c>
      <c r="B85" s="13"/>
    </row>
    <row r="86" spans="1:2" x14ac:dyDescent="0.25">
      <c r="A86" s="13">
        <v>0.47</v>
      </c>
      <c r="B86" s="13"/>
    </row>
    <row r="87" spans="1:2" x14ac:dyDescent="0.25">
      <c r="A87" s="13">
        <v>0.48</v>
      </c>
      <c r="B87" s="13"/>
    </row>
    <row r="88" spans="1:2" x14ac:dyDescent="0.25">
      <c r="A88" s="13">
        <v>0.49</v>
      </c>
      <c r="B88" s="13"/>
    </row>
    <row r="89" spans="1:2" x14ac:dyDescent="0.25">
      <c r="A89" s="13">
        <v>0.499999999999999</v>
      </c>
      <c r="B89" s="13"/>
    </row>
    <row r="90" spans="1:2" x14ac:dyDescent="0.25">
      <c r="A90" s="13">
        <v>0.50999999999999901</v>
      </c>
      <c r="B90" s="13"/>
    </row>
    <row r="91" spans="1:2" x14ac:dyDescent="0.25">
      <c r="A91" s="13">
        <v>0.51999999999999902</v>
      </c>
      <c r="B91" s="13"/>
    </row>
    <row r="92" spans="1:2" x14ac:dyDescent="0.25">
      <c r="A92" s="13">
        <v>0.52999999999999903</v>
      </c>
      <c r="B92" s="13"/>
    </row>
    <row r="93" spans="1:2" x14ac:dyDescent="0.25">
      <c r="A93" s="13">
        <v>0.53999999999999904</v>
      </c>
      <c r="B93" s="13"/>
    </row>
    <row r="94" spans="1:2" x14ac:dyDescent="0.25">
      <c r="A94" s="13">
        <v>0.54999999999999905</v>
      </c>
      <c r="B94" s="13"/>
    </row>
    <row r="95" spans="1:2" x14ac:dyDescent="0.25">
      <c r="A95" s="13">
        <v>0.55999999999999905</v>
      </c>
      <c r="B95" s="13"/>
    </row>
    <row r="96" spans="1:2" x14ac:dyDescent="0.25">
      <c r="A96" s="13">
        <v>0.56999999999999895</v>
      </c>
      <c r="B96" s="13"/>
    </row>
    <row r="97" spans="1:3" x14ac:dyDescent="0.25">
      <c r="A97" s="13">
        <v>0.57999999999999896</v>
      </c>
      <c r="B97" s="13"/>
    </row>
    <row r="98" spans="1:3" x14ac:dyDescent="0.25">
      <c r="A98" s="13">
        <v>0.58999999999999897</v>
      </c>
      <c r="B98" s="13"/>
    </row>
    <row r="99" spans="1:3" x14ac:dyDescent="0.25">
      <c r="A99" s="13">
        <v>0.59999999999999898</v>
      </c>
      <c r="B99" s="13"/>
    </row>
    <row r="100" spans="1:3" x14ac:dyDescent="0.25">
      <c r="A100" s="16" t="s">
        <v>100</v>
      </c>
    </row>
    <row r="101" spans="1:3" x14ac:dyDescent="0.25">
      <c r="A101" s="1" t="s">
        <v>418</v>
      </c>
    </row>
    <row r="102" spans="1:3" x14ac:dyDescent="0.25">
      <c r="A102" s="16" t="s">
        <v>109</v>
      </c>
    </row>
    <row r="103" spans="1:3" x14ac:dyDescent="0.25">
      <c r="A103" s="1" t="s">
        <v>665</v>
      </c>
    </row>
    <row r="104" spans="1:3" x14ac:dyDescent="0.25">
      <c r="A104" s="15" t="s">
        <v>35</v>
      </c>
    </row>
    <row r="105" spans="1:3" x14ac:dyDescent="0.25">
      <c r="A105" s="24" t="s">
        <v>123</v>
      </c>
      <c r="B105" s="24" t="s">
        <v>567</v>
      </c>
      <c r="C105" s="24" t="s">
        <v>123</v>
      </c>
    </row>
    <row r="106" spans="1:3" x14ac:dyDescent="0.25">
      <c r="A106" s="1" t="s">
        <v>109</v>
      </c>
      <c r="B106" s="1" t="s">
        <v>109</v>
      </c>
      <c r="C106" s="1" t="s">
        <v>109</v>
      </c>
    </row>
    <row r="107" spans="1:3" x14ac:dyDescent="0.25">
      <c r="A107" s="1" t="s">
        <v>665</v>
      </c>
      <c r="B107" s="1" t="s">
        <v>665</v>
      </c>
      <c r="C107" s="1" t="s">
        <v>666</v>
      </c>
    </row>
    <row r="108" spans="1:3" x14ac:dyDescent="0.25">
      <c r="A108" s="15" t="s">
        <v>44</v>
      </c>
      <c r="C108" s="1" t="s">
        <v>667</v>
      </c>
    </row>
    <row r="109" spans="1:3" x14ac:dyDescent="0.25">
      <c r="A109" s="47" t="s">
        <v>124</v>
      </c>
    </row>
    <row r="110" spans="1:3" x14ac:dyDescent="0.25">
      <c r="A110" s="47" t="s">
        <v>31</v>
      </c>
    </row>
    <row r="111" spans="1:3" x14ac:dyDescent="0.25">
      <c r="A111" s="47" t="s">
        <v>29</v>
      </c>
    </row>
    <row r="112" spans="1:3" x14ac:dyDescent="0.25">
      <c r="A112" s="15" t="s">
        <v>46</v>
      </c>
    </row>
    <row r="113" spans="1:1" x14ac:dyDescent="0.25">
      <c r="A113" s="47" t="s">
        <v>124</v>
      </c>
    </row>
    <row r="114" spans="1:1" x14ac:dyDescent="0.25">
      <c r="A114" s="47" t="s">
        <v>31</v>
      </c>
    </row>
    <row r="115" spans="1:1" x14ac:dyDescent="0.25">
      <c r="A115" s="47" t="s">
        <v>29</v>
      </c>
    </row>
    <row r="116" spans="1:1" x14ac:dyDescent="0.25">
      <c r="A116" s="24" t="s">
        <v>30</v>
      </c>
    </row>
    <row r="118" spans="1:1" x14ac:dyDescent="0.25">
      <c r="A118" t="s">
        <v>206</v>
      </c>
    </row>
    <row r="119" spans="1:1" x14ac:dyDescent="0.25">
      <c r="A119" t="s">
        <v>199</v>
      </c>
    </row>
    <row r="120" spans="1:1" x14ac:dyDescent="0.25">
      <c r="A120" t="s">
        <v>200</v>
      </c>
    </row>
    <row r="121" spans="1:1" x14ac:dyDescent="0.25">
      <c r="A121" t="s">
        <v>201</v>
      </c>
    </row>
    <row r="122" spans="1:1" x14ac:dyDescent="0.25">
      <c r="A122" t="s">
        <v>202</v>
      </c>
    </row>
    <row r="123" spans="1:1" x14ac:dyDescent="0.25">
      <c r="A123" t="s">
        <v>203</v>
      </c>
    </row>
    <row r="124" spans="1:1" x14ac:dyDescent="0.25">
      <c r="A124" t="s">
        <v>204</v>
      </c>
    </row>
    <row r="125" spans="1:1" x14ac:dyDescent="0.25">
      <c r="A125" t="s">
        <v>205</v>
      </c>
    </row>
    <row r="127" spans="1:1" x14ac:dyDescent="0.25">
      <c r="A127" t="s">
        <v>207</v>
      </c>
    </row>
    <row r="128" spans="1:1" x14ac:dyDescent="0.25">
      <c r="A128" t="s">
        <v>62</v>
      </c>
    </row>
    <row r="129" spans="1:1" x14ac:dyDescent="0.25">
      <c r="A129" t="s">
        <v>208</v>
      </c>
    </row>
    <row r="130" spans="1:1" x14ac:dyDescent="0.25">
      <c r="A130" t="s">
        <v>209</v>
      </c>
    </row>
    <row r="131" spans="1:1" x14ac:dyDescent="0.25">
      <c r="A131" t="s">
        <v>210</v>
      </c>
    </row>
    <row r="132" spans="1:1" x14ac:dyDescent="0.25">
      <c r="A132" t="s">
        <v>211</v>
      </c>
    </row>
    <row r="133" spans="1:1" x14ac:dyDescent="0.25">
      <c r="A133" t="s">
        <v>212</v>
      </c>
    </row>
    <row r="134" spans="1:1" x14ac:dyDescent="0.25">
      <c r="A134" t="s">
        <v>213</v>
      </c>
    </row>
    <row r="135" spans="1:1" x14ac:dyDescent="0.25">
      <c r="A135" t="s">
        <v>214</v>
      </c>
    </row>
    <row r="136" spans="1:1" x14ac:dyDescent="0.25">
      <c r="A136" t="s">
        <v>215</v>
      </c>
    </row>
    <row r="137" spans="1:1" x14ac:dyDescent="0.25">
      <c r="A137" t="s">
        <v>216</v>
      </c>
    </row>
    <row r="139" spans="1:1" x14ac:dyDescent="0.25">
      <c r="A139" t="s">
        <v>517</v>
      </c>
    </row>
    <row r="140" spans="1:1" x14ac:dyDescent="0.25">
      <c r="A140" t="s">
        <v>518</v>
      </c>
    </row>
    <row r="141" spans="1:1" x14ac:dyDescent="0.25">
      <c r="A141" t="s">
        <v>519</v>
      </c>
    </row>
    <row r="142" spans="1:1" x14ac:dyDescent="0.25">
      <c r="A142" t="s">
        <v>520</v>
      </c>
    </row>
    <row r="146" spans="1:8" x14ac:dyDescent="0.25">
      <c r="B146" t="s">
        <v>529</v>
      </c>
      <c r="C146" t="s">
        <v>524</v>
      </c>
      <c r="D146" t="s">
        <v>572</v>
      </c>
      <c r="E146" t="s">
        <v>525</v>
      </c>
      <c r="F146" t="s">
        <v>530</v>
      </c>
      <c r="G146" t="s">
        <v>531</v>
      </c>
    </row>
    <row r="147" spans="1:8" x14ac:dyDescent="0.25">
      <c r="A147" t="s">
        <v>518</v>
      </c>
      <c r="B147" t="s">
        <v>527</v>
      </c>
      <c r="C147" s="190">
        <f>1.045*0.835/1000</f>
        <v>8.7257499999999989E-4</v>
      </c>
      <c r="D147" s="190">
        <f>0.835/1000</f>
        <v>8.3499999999999991E-4</v>
      </c>
      <c r="E147" s="190">
        <v>43.3</v>
      </c>
      <c r="F147" s="190">
        <v>74</v>
      </c>
      <c r="G147" s="190">
        <v>0.99</v>
      </c>
      <c r="H147">
        <f>D147*E147*F147*G147</f>
        <v>2.6487519299999995</v>
      </c>
    </row>
    <row r="148" spans="1:8" ht="15.75" x14ac:dyDescent="0.25">
      <c r="A148" t="s">
        <v>519</v>
      </c>
      <c r="B148" t="s">
        <v>528</v>
      </c>
      <c r="C148" s="190">
        <f>0.82/1000</f>
        <v>8.1999999999999998E-4</v>
      </c>
      <c r="D148" s="190">
        <f>0.8404/1000</f>
        <v>8.4040000000000004E-4</v>
      </c>
      <c r="E148" s="190">
        <v>45.1</v>
      </c>
      <c r="F148" s="190">
        <v>64.099999999999994</v>
      </c>
      <c r="H148">
        <f>D148*E148*F148*G147</f>
        <v>2.4052255563600005</v>
      </c>
    </row>
    <row r="149" spans="1:8" x14ac:dyDescent="0.25">
      <c r="A149" t="s">
        <v>520</v>
      </c>
      <c r="B149" t="s">
        <v>526</v>
      </c>
      <c r="C149" s="190">
        <f>0.72*1.073/1000</f>
        <v>7.7255999999999994E-4</v>
      </c>
      <c r="D149" s="190">
        <f>0.75/1000</f>
        <v>7.5000000000000002E-4</v>
      </c>
      <c r="E149" s="190">
        <v>45</v>
      </c>
      <c r="F149" s="190">
        <v>69.2</v>
      </c>
      <c r="H149">
        <f>D149*E149*F149*G147</f>
        <v>2.3121450000000001</v>
      </c>
    </row>
    <row r="153" spans="1:8" x14ac:dyDescent="0.25">
      <c r="A153" t="s">
        <v>655</v>
      </c>
    </row>
    <row r="154" spans="1:8" x14ac:dyDescent="0.25">
      <c r="A154" t="s">
        <v>641</v>
      </c>
    </row>
    <row r="155" spans="1:8" x14ac:dyDescent="0.25">
      <c r="A155" t="s">
        <v>642</v>
      </c>
    </row>
    <row r="156" spans="1:8" x14ac:dyDescent="0.25">
      <c r="A156" t="s">
        <v>643</v>
      </c>
    </row>
    <row r="157" spans="1:8" x14ac:dyDescent="0.25">
      <c r="A157" t="s">
        <v>644</v>
      </c>
    </row>
    <row r="158" spans="1:8" x14ac:dyDescent="0.25">
      <c r="A158" t="s">
        <v>645</v>
      </c>
    </row>
    <row r="159" spans="1:8" x14ac:dyDescent="0.25">
      <c r="A159" t="s">
        <v>646</v>
      </c>
    </row>
    <row r="160" spans="1:8" x14ac:dyDescent="0.25">
      <c r="A160" t="s">
        <v>647</v>
      </c>
    </row>
    <row r="161" spans="1:4" x14ac:dyDescent="0.25">
      <c r="A161" t="s">
        <v>648</v>
      </c>
    </row>
    <row r="162" spans="1:4" x14ac:dyDescent="0.25">
      <c r="A162" t="s">
        <v>649</v>
      </c>
    </row>
    <row r="163" spans="1:4" x14ac:dyDescent="0.25">
      <c r="A163" t="s">
        <v>650</v>
      </c>
    </row>
    <row r="164" spans="1:4" x14ac:dyDescent="0.25">
      <c r="A164" t="s">
        <v>651</v>
      </c>
    </row>
    <row r="165" spans="1:4" x14ac:dyDescent="0.25">
      <c r="A165" t="s">
        <v>652</v>
      </c>
    </row>
    <row r="166" spans="1:4" x14ac:dyDescent="0.25">
      <c r="A166" t="s">
        <v>653</v>
      </c>
    </row>
    <row r="167" spans="1:4" x14ac:dyDescent="0.25">
      <c r="A167" t="s">
        <v>654</v>
      </c>
    </row>
    <row r="170" spans="1:4" x14ac:dyDescent="0.25">
      <c r="A170" t="s">
        <v>656</v>
      </c>
      <c r="B170" t="s">
        <v>657</v>
      </c>
      <c r="C170" t="s">
        <v>639</v>
      </c>
      <c r="D170" t="s">
        <v>640</v>
      </c>
    </row>
    <row r="171" spans="1:4" x14ac:dyDescent="0.25">
      <c r="A171">
        <v>180</v>
      </c>
      <c r="B171">
        <v>559</v>
      </c>
      <c r="C171">
        <v>31.91</v>
      </c>
      <c r="D171" s="276">
        <v>0.99833819999999995</v>
      </c>
    </row>
    <row r="172" spans="1:4" x14ac:dyDescent="0.25">
      <c r="A172">
        <v>560</v>
      </c>
      <c r="B172">
        <v>999</v>
      </c>
      <c r="C172">
        <v>16.96</v>
      </c>
      <c r="D172" s="276">
        <v>0.99980570000000002</v>
      </c>
    </row>
    <row r="173" spans="1:4" x14ac:dyDescent="0.25">
      <c r="A173">
        <v>1000</v>
      </c>
      <c r="B173">
        <v>1499</v>
      </c>
      <c r="C173">
        <v>15.57</v>
      </c>
      <c r="D173" s="276">
        <v>0.99981019999999998</v>
      </c>
    </row>
    <row r="174" spans="1:4" x14ac:dyDescent="0.25">
      <c r="A174">
        <v>1500</v>
      </c>
      <c r="B174">
        <v>1999</v>
      </c>
      <c r="C174">
        <v>14.16</v>
      </c>
      <c r="D174" s="276">
        <v>0.99992809999999999</v>
      </c>
    </row>
    <row r="175" spans="1:4" x14ac:dyDescent="0.25">
      <c r="A175">
        <v>2000</v>
      </c>
      <c r="B175">
        <v>3999</v>
      </c>
      <c r="C175">
        <v>13.66</v>
      </c>
      <c r="D175" s="276">
        <v>0.99990913999999997</v>
      </c>
    </row>
    <row r="176" spans="1:4" x14ac:dyDescent="0.25">
      <c r="A176">
        <v>4000</v>
      </c>
      <c r="B176">
        <v>7999</v>
      </c>
      <c r="C176">
        <v>11.39</v>
      </c>
      <c r="D176" s="276">
        <v>0.99996494999999996</v>
      </c>
    </row>
    <row r="177" spans="1:12" x14ac:dyDescent="0.25">
      <c r="A177">
        <v>8000</v>
      </c>
      <c r="B177">
        <v>11999</v>
      </c>
      <c r="C177">
        <v>9.9</v>
      </c>
      <c r="D177" s="276">
        <v>0.99998704400000005</v>
      </c>
    </row>
    <row r="178" spans="1:12" x14ac:dyDescent="0.25">
      <c r="A178">
        <v>12000</v>
      </c>
      <c r="B178">
        <v>16999</v>
      </c>
      <c r="C178">
        <v>9.4</v>
      </c>
      <c r="D178" s="276">
        <v>0.99999152499999999</v>
      </c>
    </row>
    <row r="179" spans="1:12" x14ac:dyDescent="0.25">
      <c r="A179">
        <v>17000</v>
      </c>
      <c r="B179">
        <v>24999</v>
      </c>
      <c r="C179">
        <v>9.01</v>
      </c>
      <c r="D179" s="276">
        <v>0.99999576700000004</v>
      </c>
    </row>
    <row r="180" spans="1:12" x14ac:dyDescent="0.25">
      <c r="A180">
        <v>25000</v>
      </c>
      <c r="B180">
        <v>33999</v>
      </c>
      <c r="C180">
        <v>8.7100000000000009</v>
      </c>
      <c r="D180" s="276">
        <v>0.99999806979999994</v>
      </c>
    </row>
    <row r="181" spans="1:12" x14ac:dyDescent="0.25">
      <c r="A181">
        <v>34000</v>
      </c>
      <c r="B181">
        <v>49999</v>
      </c>
      <c r="C181">
        <v>8.56</v>
      </c>
      <c r="D181" s="276">
        <v>0.99999829770000004</v>
      </c>
    </row>
    <row r="182" spans="1:12" x14ac:dyDescent="0.25">
      <c r="A182">
        <v>50000</v>
      </c>
      <c r="B182">
        <v>67999</v>
      </c>
      <c r="C182">
        <v>8.33</v>
      </c>
      <c r="D182" s="276">
        <v>0.99999979959999996</v>
      </c>
    </row>
    <row r="183" spans="1:12" x14ac:dyDescent="0.25">
      <c r="A183">
        <v>68000</v>
      </c>
      <c r="B183">
        <v>119999</v>
      </c>
      <c r="C183">
        <v>8.3000000000000007</v>
      </c>
      <c r="D183" s="276">
        <v>0.99999955466000001</v>
      </c>
    </row>
    <row r="184" spans="1:12" x14ac:dyDescent="0.25">
      <c r="A184">
        <v>120000</v>
      </c>
      <c r="B184">
        <v>208000</v>
      </c>
      <c r="C184">
        <v>8.11</v>
      </c>
      <c r="D184" s="276">
        <v>0.99999983155000005</v>
      </c>
    </row>
    <row r="187" spans="1:12" x14ac:dyDescent="0.25">
      <c r="A187" t="s">
        <v>664</v>
      </c>
    </row>
    <row r="188" spans="1:12" x14ac:dyDescent="0.25">
      <c r="A188" t="s">
        <v>663</v>
      </c>
    </row>
    <row r="189" spans="1:12" x14ac:dyDescent="0.25">
      <c r="A189" t="s">
        <v>686</v>
      </c>
    </row>
    <row r="190" spans="1:12" x14ac:dyDescent="0.25">
      <c r="H190" s="243"/>
      <c r="I190" s="243"/>
      <c r="J190" s="243"/>
      <c r="K190" s="243"/>
      <c r="L190" s="243"/>
    </row>
    <row r="191" spans="1:12" x14ac:dyDescent="0.25">
      <c r="H191" s="243"/>
      <c r="I191" s="243"/>
      <c r="J191" s="243"/>
    </row>
    <row r="192" spans="1:12" x14ac:dyDescent="0.25">
      <c r="A192" t="s">
        <v>680</v>
      </c>
    </row>
    <row r="193" spans="1:10" x14ac:dyDescent="0.25">
      <c r="A193" t="s">
        <v>681</v>
      </c>
    </row>
    <row r="194" spans="1:10" x14ac:dyDescent="0.25">
      <c r="A194" t="s">
        <v>682</v>
      </c>
    </row>
    <row r="195" spans="1:10" x14ac:dyDescent="0.25">
      <c r="D195" s="243"/>
    </row>
    <row r="197" spans="1:10" x14ac:dyDescent="0.25">
      <c r="A197" s="243"/>
    </row>
    <row r="198" spans="1:10" x14ac:dyDescent="0.25">
      <c r="A198" s="243"/>
      <c r="I198" s="219"/>
    </row>
    <row r="201" spans="1:10" x14ac:dyDescent="0.25">
      <c r="G201" s="243"/>
    </row>
    <row r="202" spans="1:10" x14ac:dyDescent="0.25">
      <c r="G202" s="243"/>
    </row>
    <row r="203" spans="1:10" x14ac:dyDescent="0.25">
      <c r="G203" s="243"/>
    </row>
    <row r="205" spans="1:10" x14ac:dyDescent="0.25">
      <c r="A205" s="243"/>
      <c r="C205" s="243"/>
      <c r="D205" s="243"/>
      <c r="E205" s="243"/>
    </row>
    <row r="206" spans="1:10" x14ac:dyDescent="0.25">
      <c r="A206" s="243"/>
      <c r="B206" s="243"/>
      <c r="C206" s="243"/>
      <c r="D206" s="243"/>
      <c r="E206" s="243"/>
      <c r="F206" s="243"/>
      <c r="G206" s="243"/>
      <c r="H206" s="243"/>
      <c r="I206" s="243"/>
      <c r="J206" s="243"/>
    </row>
    <row r="207" spans="1:10" x14ac:dyDescent="0.25">
      <c r="A207" s="243"/>
      <c r="B207" s="243"/>
      <c r="C207" s="243"/>
      <c r="D207" s="243"/>
      <c r="E207" s="243"/>
    </row>
    <row r="208" spans="1:10" x14ac:dyDescent="0.25">
      <c r="A208" s="243"/>
      <c r="B208" s="243"/>
      <c r="C208" s="243"/>
      <c r="D208" s="243"/>
      <c r="E208" s="243"/>
    </row>
    <row r="214" spans="1:13" x14ac:dyDescent="0.25">
      <c r="A214" s="243"/>
      <c r="B214" s="243"/>
      <c r="C214" s="243"/>
      <c r="D214" s="243"/>
      <c r="E214" s="243"/>
      <c r="F214" s="243"/>
      <c r="G214" s="243"/>
      <c r="H214" s="243"/>
      <c r="I214" s="243"/>
      <c r="J214" s="243"/>
      <c r="K214" s="243"/>
      <c r="M214" s="243"/>
    </row>
    <row r="215" spans="1:13" x14ac:dyDescent="0.25">
      <c r="A215" s="243"/>
      <c r="B215" s="243"/>
      <c r="C215" s="243"/>
      <c r="D215" s="243"/>
      <c r="E215" s="243"/>
      <c r="F215" s="243"/>
      <c r="G215" s="243"/>
      <c r="H215" s="243"/>
      <c r="I215" s="243"/>
      <c r="J215" s="243"/>
      <c r="M215" s="244"/>
    </row>
    <row r="216" spans="1:13" x14ac:dyDescent="0.25">
      <c r="A216" s="243"/>
      <c r="B216" s="243"/>
      <c r="C216" s="243"/>
      <c r="D216" s="243"/>
      <c r="E216" s="243"/>
      <c r="F216" s="243"/>
      <c r="G216" s="243"/>
      <c r="H216" s="243"/>
      <c r="I216" s="243"/>
      <c r="J216" s="243"/>
    </row>
    <row r="217" spans="1:13" x14ac:dyDescent="0.25">
      <c r="J217" s="243"/>
    </row>
    <row r="221" spans="1:13" x14ac:dyDescent="0.25">
      <c r="A221" s="243"/>
      <c r="B221" s="243"/>
      <c r="C221" s="243"/>
      <c r="D221" s="243"/>
      <c r="E221" s="243"/>
      <c r="F221" s="243"/>
      <c r="G221" s="243"/>
      <c r="H221" s="243"/>
      <c r="I221" s="243"/>
      <c r="J221" s="243"/>
      <c r="K221" s="243"/>
      <c r="M221" s="243"/>
    </row>
    <row r="222" spans="1:13" x14ac:dyDescent="0.25">
      <c r="A222" s="243"/>
      <c r="B222" s="243"/>
      <c r="C222" s="243"/>
      <c r="D222" s="243"/>
      <c r="E222" s="243"/>
      <c r="F222" s="243"/>
      <c r="G222" s="243"/>
      <c r="H222" s="243"/>
      <c r="I222" s="243"/>
      <c r="J222" s="243"/>
      <c r="M222" s="244"/>
    </row>
    <row r="223" spans="1:13" x14ac:dyDescent="0.25">
      <c r="A223" s="243"/>
      <c r="B223" s="243"/>
      <c r="C223" s="243"/>
      <c r="D223" s="243"/>
      <c r="E223" s="243"/>
      <c r="F223" s="243"/>
      <c r="G223" s="243"/>
      <c r="H223" s="243"/>
      <c r="I223" s="243"/>
      <c r="J223" s="243"/>
    </row>
    <row r="224" spans="1:13" x14ac:dyDescent="0.25">
      <c r="J224" s="243"/>
    </row>
    <row r="226" spans="1:13" x14ac:dyDescent="0.25">
      <c r="J226" s="243"/>
    </row>
    <row r="227" spans="1:13" x14ac:dyDescent="0.25">
      <c r="M227" s="243"/>
    </row>
    <row r="228" spans="1:13" x14ac:dyDescent="0.25">
      <c r="M228" s="244"/>
    </row>
    <row r="233" spans="1:13" x14ac:dyDescent="0.25">
      <c r="A233" s="243"/>
      <c r="B233" s="243"/>
      <c r="C233" s="243"/>
      <c r="D233" s="243"/>
      <c r="E233" s="243"/>
      <c r="F233" s="243"/>
      <c r="G233" s="243"/>
      <c r="H233" s="243"/>
      <c r="I233" s="243"/>
      <c r="J233" s="243"/>
      <c r="K233" s="243"/>
      <c r="M233" s="243"/>
    </row>
    <row r="234" spans="1:13" x14ac:dyDescent="0.25">
      <c r="A234" s="243"/>
      <c r="B234" s="243"/>
      <c r="C234" s="243"/>
      <c r="D234" s="243"/>
      <c r="E234" s="243"/>
      <c r="F234" s="243"/>
      <c r="G234" s="243"/>
      <c r="H234" s="243"/>
      <c r="I234" s="243"/>
      <c r="J234" s="243"/>
      <c r="M234" s="244"/>
    </row>
    <row r="235" spans="1:13" x14ac:dyDescent="0.25">
      <c r="A235" s="243"/>
      <c r="B235" s="243"/>
      <c r="C235" s="243"/>
      <c r="D235" s="243"/>
      <c r="E235" s="243"/>
      <c r="F235" s="243"/>
      <c r="G235" s="243"/>
      <c r="H235" s="243"/>
      <c r="I235" s="243"/>
      <c r="J235" s="243"/>
    </row>
    <row r="236" spans="1:13" x14ac:dyDescent="0.25">
      <c r="J236" s="243"/>
    </row>
    <row r="238" spans="1:13" x14ac:dyDescent="0.25">
      <c r="J238" s="243"/>
    </row>
    <row r="239" spans="1:13" x14ac:dyDescent="0.25">
      <c r="M239" s="243"/>
    </row>
    <row r="240" spans="1:13" x14ac:dyDescent="0.25">
      <c r="I240" s="243"/>
      <c r="J240" s="243"/>
      <c r="M240" s="244"/>
    </row>
  </sheetData>
  <sheetProtection algorithmName="SHA-512" hashValue="DrVLJ13bqERDXvnMlt76/vJIrvQ7p6d0C4YPMwK4ZUm+K+wZw4h20ueCt4OxFQ1VymcV991wiYlhzVramaYzxA==" saltValue="O855xJ39DhrOMEeGvGkYYw==" spinCount="100000" sheet="1" objects="1" scenarios="1"/>
  <mergeCells count="3">
    <mergeCell ref="A2:N2"/>
    <mergeCell ref="A10:N10"/>
    <mergeCell ref="A25:N2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2</vt:i4>
      </vt:variant>
    </vt:vector>
  </HeadingPairs>
  <TitlesOfParts>
    <vt:vector size="9" baseType="lpstr">
      <vt:lpstr>Apresentação</vt:lpstr>
      <vt:lpstr>Apoio à Decisão</vt:lpstr>
      <vt:lpstr>Fluxo de Caixa</vt:lpstr>
      <vt:lpstr>Input Económico-financeiro</vt:lpstr>
      <vt:lpstr>Input Técnico</vt:lpstr>
      <vt:lpstr>Auxilar</vt:lpstr>
      <vt:lpstr>Lista</vt:lpstr>
      <vt:lpstr>'Fluxo de Caixa'!Área_de_Impressão</vt:lpstr>
      <vt:lpstr>'Input Económico-financeiro'!Área_de_Impressão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João Brito Ana</cp:lastModifiedBy>
  <cp:lastPrinted>2020-09-16T09:38:20Z</cp:lastPrinted>
  <dcterms:created xsi:type="dcterms:W3CDTF">2020-07-31T21:33:20Z</dcterms:created>
  <dcterms:modified xsi:type="dcterms:W3CDTF">2021-06-23T11:04:38Z</dcterms:modified>
</cp:coreProperties>
</file>